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josepereiraangarita/Desktop/Apotema/FLUJO DE APOTEMA/"/>
    </mc:Choice>
  </mc:AlternateContent>
  <xr:revisionPtr revIDLastSave="0" documentId="13_ncr:1_{E5FE3444-DF4E-2849-A854-DC19C85049D8}" xr6:coauthVersionLast="47" xr6:coauthVersionMax="47" xr10:uidLastSave="{00000000-0000-0000-0000-000000000000}"/>
  <bookViews>
    <workbookView xWindow="0" yWindow="500" windowWidth="28800" windowHeight="16280" tabRatio="500" activeTab="2" xr2:uid="{00000000-000D-0000-FFFF-FFFF00000000}"/>
  </bookViews>
  <sheets>
    <sheet name="CALIFICACION" sheetId="1" r:id="rId1"/>
    <sheet name="PARAMETROS" sheetId="2" r:id="rId2"/>
    <sheet name="FLUJO DE CAJA" sheetId="3" r:id="rId3"/>
    <sheet name="Hoja1"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28" i="4" l="1"/>
  <c r="G22" i="4"/>
  <c r="G20" i="4"/>
  <c r="E40" i="3" l="1"/>
  <c r="C53" i="2"/>
  <c r="C51" i="2"/>
  <c r="C52" i="2" s="1"/>
  <c r="C47" i="2"/>
  <c r="C44" i="2"/>
  <c r="C27" i="2"/>
  <c r="C24" i="2"/>
  <c r="C28" i="2" s="1"/>
  <c r="D22" i="3" s="1"/>
  <c r="R22" i="3" s="1"/>
  <c r="C17" i="1"/>
  <c r="C16" i="1"/>
  <c r="C15" i="1"/>
  <c r="C12" i="1"/>
  <c r="C54" i="2" s="1"/>
  <c r="G11" i="1"/>
  <c r="F11" i="1"/>
  <c r="G10" i="1"/>
  <c r="F10" i="1"/>
  <c r="G9" i="1"/>
  <c r="F9" i="1"/>
  <c r="G8" i="1"/>
  <c r="F8" i="1"/>
  <c r="G7" i="1"/>
  <c r="F7" i="1"/>
  <c r="G6" i="1"/>
  <c r="G12" i="1" s="1"/>
  <c r="F6" i="1"/>
  <c r="F12" i="1" s="1"/>
  <c r="Q53" i="3"/>
  <c r="P53" i="3"/>
  <c r="O53" i="3"/>
  <c r="N53" i="3"/>
  <c r="M53" i="3"/>
  <c r="L53" i="3"/>
  <c r="K53" i="3"/>
  <c r="J53" i="3"/>
  <c r="I53" i="3"/>
  <c r="H53" i="3"/>
  <c r="G53" i="3"/>
  <c r="F53" i="3"/>
  <c r="E53" i="3"/>
  <c r="D53" i="3"/>
  <c r="C53" i="3"/>
  <c r="R53" i="3" s="1"/>
  <c r="Q51" i="3"/>
  <c r="P51" i="3"/>
  <c r="O51" i="3"/>
  <c r="N51" i="3"/>
  <c r="M51" i="3"/>
  <c r="L51" i="3"/>
  <c r="K51" i="3"/>
  <c r="J51" i="3"/>
  <c r="I51" i="3"/>
  <c r="H51" i="3"/>
  <c r="G51" i="3"/>
  <c r="F51" i="3"/>
  <c r="E51" i="3"/>
  <c r="D51" i="3"/>
  <c r="C51" i="3"/>
  <c r="R51" i="3" s="1"/>
  <c r="Q50" i="3"/>
  <c r="P50" i="3"/>
  <c r="O50" i="3"/>
  <c r="N50" i="3"/>
  <c r="M50" i="3"/>
  <c r="L50" i="3"/>
  <c r="K50" i="3"/>
  <c r="J50" i="3"/>
  <c r="I50" i="3"/>
  <c r="H50" i="3"/>
  <c r="G50" i="3"/>
  <c r="F50" i="3"/>
  <c r="E50" i="3"/>
  <c r="D50" i="3"/>
  <c r="C50" i="3"/>
  <c r="R50" i="3" s="1"/>
  <c r="Q49" i="3"/>
  <c r="P49" i="3"/>
  <c r="O49" i="3"/>
  <c r="N49" i="3"/>
  <c r="M49" i="3"/>
  <c r="L49" i="3"/>
  <c r="K49" i="3"/>
  <c r="J49" i="3"/>
  <c r="I49" i="3"/>
  <c r="H49" i="3"/>
  <c r="G49" i="3"/>
  <c r="F49" i="3"/>
  <c r="E49" i="3"/>
  <c r="D49" i="3"/>
  <c r="C49" i="3"/>
  <c r="R49" i="3" s="1"/>
  <c r="Q48" i="3"/>
  <c r="Q52" i="3" s="1"/>
  <c r="Q54" i="3" s="1"/>
  <c r="P48" i="3"/>
  <c r="P52" i="3" s="1"/>
  <c r="P54" i="3" s="1"/>
  <c r="O48" i="3"/>
  <c r="O52" i="3" s="1"/>
  <c r="O54" i="3" s="1"/>
  <c r="N48" i="3"/>
  <c r="N52" i="3" s="1"/>
  <c r="N54" i="3" s="1"/>
  <c r="M48" i="3"/>
  <c r="M52" i="3" s="1"/>
  <c r="M54" i="3" s="1"/>
  <c r="L48" i="3"/>
  <c r="L52" i="3" s="1"/>
  <c r="L54" i="3" s="1"/>
  <c r="K48" i="3"/>
  <c r="K52" i="3" s="1"/>
  <c r="K54" i="3" s="1"/>
  <c r="J48" i="3"/>
  <c r="J52" i="3" s="1"/>
  <c r="J54" i="3" s="1"/>
  <c r="I48" i="3"/>
  <c r="I52" i="3" s="1"/>
  <c r="I54" i="3" s="1"/>
  <c r="H48" i="3"/>
  <c r="H52" i="3" s="1"/>
  <c r="H54" i="3" s="1"/>
  <c r="G48" i="3"/>
  <c r="G52" i="3" s="1"/>
  <c r="G54" i="3" s="1"/>
  <c r="F48" i="3"/>
  <c r="F52" i="3" s="1"/>
  <c r="F54" i="3" s="1"/>
  <c r="E48" i="3"/>
  <c r="E52" i="3" s="1"/>
  <c r="E54" i="3" s="1"/>
  <c r="D48" i="3"/>
  <c r="D52" i="3" s="1"/>
  <c r="D54" i="3" s="1"/>
  <c r="C48" i="3"/>
  <c r="C52" i="3" s="1"/>
  <c r="G41" i="3"/>
  <c r="F41" i="3"/>
  <c r="E41" i="3"/>
  <c r="D41" i="3"/>
  <c r="C41" i="3"/>
  <c r="Q40" i="3"/>
  <c r="P40" i="3"/>
  <c r="O40" i="3"/>
  <c r="N40" i="3"/>
  <c r="M40" i="3"/>
  <c r="L40" i="3"/>
  <c r="K40" i="3"/>
  <c r="J40" i="3"/>
  <c r="I40" i="3"/>
  <c r="H40" i="3"/>
  <c r="G40" i="3"/>
  <c r="F40" i="3"/>
  <c r="D40" i="3"/>
  <c r="C40" i="3"/>
  <c r="Q39" i="3"/>
  <c r="P39" i="3"/>
  <c r="O39" i="3"/>
  <c r="N39" i="3"/>
  <c r="M39" i="3"/>
  <c r="L39" i="3"/>
  <c r="K39" i="3"/>
  <c r="J39" i="3"/>
  <c r="I39" i="3"/>
  <c r="H39" i="3"/>
  <c r="G39" i="3"/>
  <c r="R39" i="3" s="1"/>
  <c r="F39" i="3"/>
  <c r="E39" i="3"/>
  <c r="D39" i="3"/>
  <c r="C39" i="3"/>
  <c r="Q38" i="3"/>
  <c r="P38" i="3"/>
  <c r="O38" i="3"/>
  <c r="N38" i="3"/>
  <c r="M38" i="3"/>
  <c r="L38" i="3"/>
  <c r="K38" i="3"/>
  <c r="J38" i="3"/>
  <c r="I38" i="3"/>
  <c r="H38" i="3"/>
  <c r="G38" i="3"/>
  <c r="R38" i="3" s="1"/>
  <c r="F38" i="3"/>
  <c r="E38" i="3"/>
  <c r="D38" i="3"/>
  <c r="C38" i="3"/>
  <c r="Q37" i="3"/>
  <c r="P37" i="3"/>
  <c r="O37" i="3"/>
  <c r="N37" i="3"/>
  <c r="M37" i="3"/>
  <c r="L37" i="3"/>
  <c r="K37" i="3"/>
  <c r="J37" i="3"/>
  <c r="I37" i="3"/>
  <c r="H37" i="3"/>
  <c r="G37" i="3"/>
  <c r="R37" i="3" s="1"/>
  <c r="F37" i="3"/>
  <c r="E37" i="3"/>
  <c r="D37" i="3"/>
  <c r="C37" i="3"/>
  <c r="Q36" i="3"/>
  <c r="P36" i="3"/>
  <c r="P42" i="3" s="1"/>
  <c r="O36" i="3"/>
  <c r="O42" i="3" s="1"/>
  <c r="N36" i="3"/>
  <c r="M36" i="3"/>
  <c r="L36" i="3"/>
  <c r="K36" i="3"/>
  <c r="K42" i="3" s="1"/>
  <c r="J36" i="3"/>
  <c r="J42" i="3" s="1"/>
  <c r="I36" i="3"/>
  <c r="H36" i="3"/>
  <c r="H42" i="3" s="1"/>
  <c r="G36" i="3"/>
  <c r="G42" i="3" s="1"/>
  <c r="F36" i="3"/>
  <c r="F42" i="3" s="1"/>
  <c r="E36" i="3"/>
  <c r="D36" i="3"/>
  <c r="D42" i="3" s="1"/>
  <c r="C36" i="3"/>
  <c r="C42" i="3" s="1"/>
  <c r="Q29" i="3"/>
  <c r="P29" i="3"/>
  <c r="O29" i="3"/>
  <c r="N29" i="3"/>
  <c r="M29" i="3"/>
  <c r="L29" i="3"/>
  <c r="K29" i="3"/>
  <c r="J29" i="3"/>
  <c r="I29" i="3"/>
  <c r="H29" i="3"/>
  <c r="G29" i="3"/>
  <c r="F29" i="3"/>
  <c r="E29" i="3"/>
  <c r="D29" i="3"/>
  <c r="C29" i="3"/>
  <c r="Q23" i="3"/>
  <c r="P23" i="3"/>
  <c r="O23" i="3"/>
  <c r="N23" i="3"/>
  <c r="M23" i="3"/>
  <c r="L23" i="3"/>
  <c r="K23" i="3"/>
  <c r="J23" i="3"/>
  <c r="I23" i="3"/>
  <c r="H23" i="3"/>
  <c r="G23" i="3"/>
  <c r="R23" i="3" s="1"/>
  <c r="F23" i="3"/>
  <c r="E23" i="3"/>
  <c r="D23" i="3"/>
  <c r="C23" i="3"/>
  <c r="Q22" i="3"/>
  <c r="P22" i="3"/>
  <c r="O22" i="3"/>
  <c r="N22" i="3"/>
  <c r="M22" i="3"/>
  <c r="L22" i="3"/>
  <c r="K22" i="3"/>
  <c r="J22" i="3"/>
  <c r="I22" i="3"/>
  <c r="H22" i="3"/>
  <c r="G22" i="3"/>
  <c r="F22" i="3"/>
  <c r="E22" i="3"/>
  <c r="C22" i="3"/>
  <c r="Q21" i="3"/>
  <c r="P21" i="3"/>
  <c r="O21" i="3"/>
  <c r="N21" i="3"/>
  <c r="M21" i="3"/>
  <c r="L21" i="3"/>
  <c r="K21" i="3"/>
  <c r="J21" i="3"/>
  <c r="I21" i="3"/>
  <c r="H21" i="3"/>
  <c r="G21" i="3"/>
  <c r="R21" i="3" s="1"/>
  <c r="F21" i="3"/>
  <c r="E21" i="3"/>
  <c r="D21" i="3"/>
  <c r="C21" i="3"/>
  <c r="C61" i="3" s="1"/>
  <c r="P20" i="3"/>
  <c r="O20" i="3"/>
  <c r="K20" i="3"/>
  <c r="J20" i="3"/>
  <c r="H20" i="3"/>
  <c r="G20" i="3"/>
  <c r="C20" i="3"/>
  <c r="P19" i="3"/>
  <c r="P24" i="3" s="1"/>
  <c r="O19" i="3"/>
  <c r="O24" i="3" s="1"/>
  <c r="K19" i="3"/>
  <c r="K24" i="3" s="1"/>
  <c r="J19" i="3"/>
  <c r="J24" i="3" s="1"/>
  <c r="H19" i="3"/>
  <c r="H24" i="3" s="1"/>
  <c r="G19" i="3"/>
  <c r="G24" i="3" s="1"/>
  <c r="C19" i="3"/>
  <c r="C24" i="3" s="1"/>
  <c r="P15" i="3"/>
  <c r="O15" i="3"/>
  <c r="K15" i="3"/>
  <c r="J15" i="3"/>
  <c r="H15" i="3"/>
  <c r="G15" i="3"/>
  <c r="F15" i="3"/>
  <c r="E15" i="3"/>
  <c r="D15" i="3"/>
  <c r="C15" i="3"/>
  <c r="P14" i="3"/>
  <c r="O14" i="3"/>
  <c r="K14" i="3"/>
  <c r="J14" i="3"/>
  <c r="H14" i="3"/>
  <c r="G14" i="3"/>
  <c r="C14" i="3"/>
  <c r="P13" i="3"/>
  <c r="P16" i="3" s="1"/>
  <c r="P26" i="3" s="1"/>
  <c r="O13" i="3"/>
  <c r="O16" i="3" s="1"/>
  <c r="O26" i="3" s="1"/>
  <c r="K13" i="3"/>
  <c r="K16" i="3" s="1"/>
  <c r="K26" i="3" s="1"/>
  <c r="J13" i="3"/>
  <c r="J16" i="3" s="1"/>
  <c r="J26" i="3" s="1"/>
  <c r="H13" i="3"/>
  <c r="H16" i="3" s="1"/>
  <c r="H26" i="3" s="1"/>
  <c r="G13" i="3"/>
  <c r="G16" i="3" s="1"/>
  <c r="C13" i="3"/>
  <c r="C16" i="3" s="1"/>
  <c r="C10" i="3"/>
  <c r="Q8" i="3"/>
  <c r="Q20" i="3" s="1"/>
  <c r="P8" i="3"/>
  <c r="O8" i="3"/>
  <c r="N8" i="3"/>
  <c r="N20" i="3" s="1"/>
  <c r="M8" i="3"/>
  <c r="M20" i="3" s="1"/>
  <c r="L8" i="3"/>
  <c r="L20" i="3" s="1"/>
  <c r="K8" i="3"/>
  <c r="J8" i="3"/>
  <c r="I8" i="3"/>
  <c r="I20" i="3" s="1"/>
  <c r="H8" i="3"/>
  <c r="G8" i="3"/>
  <c r="F8" i="3"/>
  <c r="F20" i="3" s="1"/>
  <c r="E8" i="3"/>
  <c r="E20" i="3" s="1"/>
  <c r="D8" i="3"/>
  <c r="D20" i="3" s="1"/>
  <c r="R20" i="3" s="1"/>
  <c r="C8" i="3"/>
  <c r="E42" i="3" l="1"/>
  <c r="R40" i="3"/>
  <c r="G26" i="3"/>
  <c r="C57" i="3"/>
  <c r="D61" i="3"/>
  <c r="E61" i="3" s="1"/>
  <c r="F61" i="3" s="1"/>
  <c r="G61" i="3" s="1"/>
  <c r="H61" i="3" s="1"/>
  <c r="I61" i="3" s="1"/>
  <c r="J61" i="3" s="1"/>
  <c r="K61" i="3" s="1"/>
  <c r="L61" i="3" s="1"/>
  <c r="M61" i="3" s="1"/>
  <c r="N61" i="3" s="1"/>
  <c r="O61" i="3" s="1"/>
  <c r="P61" i="3" s="1"/>
  <c r="Q61" i="3" s="1"/>
  <c r="C54" i="3"/>
  <c r="R54" i="3" s="1"/>
  <c r="R52" i="3"/>
  <c r="C26" i="3"/>
  <c r="N42" i="3"/>
  <c r="C55" i="2"/>
  <c r="I13" i="3"/>
  <c r="Q13" i="3"/>
  <c r="Q16" i="3" s="1"/>
  <c r="Q26" i="3" s="1"/>
  <c r="I14" i="3"/>
  <c r="Q14" i="3"/>
  <c r="I15" i="3"/>
  <c r="R15" i="3" s="1"/>
  <c r="Q15" i="3"/>
  <c r="I19" i="3"/>
  <c r="I24" i="3" s="1"/>
  <c r="Q19" i="3"/>
  <c r="Q24" i="3" s="1"/>
  <c r="I42" i="3"/>
  <c r="Q42" i="3"/>
  <c r="D7" i="1"/>
  <c r="D12" i="1"/>
  <c r="R29" i="3"/>
  <c r="R36" i="3"/>
  <c r="R48" i="3"/>
  <c r="D10" i="1"/>
  <c r="D13" i="3"/>
  <c r="L13" i="3"/>
  <c r="L16" i="3" s="1"/>
  <c r="L26" i="3" s="1"/>
  <c r="D14" i="3"/>
  <c r="L14" i="3"/>
  <c r="L15" i="3"/>
  <c r="D19" i="3"/>
  <c r="L19" i="3"/>
  <c r="L24" i="3" s="1"/>
  <c r="L42" i="3"/>
  <c r="D8" i="1"/>
  <c r="E13" i="3"/>
  <c r="E16" i="3" s="1"/>
  <c r="E26" i="3" s="1"/>
  <c r="M13" i="3"/>
  <c r="M16" i="3" s="1"/>
  <c r="M26" i="3" s="1"/>
  <c r="E14" i="3"/>
  <c r="M14" i="3"/>
  <c r="M15" i="3"/>
  <c r="E19" i="3"/>
  <c r="E24" i="3" s="1"/>
  <c r="M19" i="3"/>
  <c r="M24" i="3" s="1"/>
  <c r="M42" i="3"/>
  <c r="D11" i="1"/>
  <c r="F13" i="3"/>
  <c r="F16" i="3" s="1"/>
  <c r="F26" i="3" s="1"/>
  <c r="N13" i="3"/>
  <c r="F14" i="3"/>
  <c r="N14" i="3"/>
  <c r="N15" i="3"/>
  <c r="F19" i="3"/>
  <c r="F24" i="3" s="1"/>
  <c r="N19" i="3"/>
  <c r="N24" i="3" s="1"/>
  <c r="D6" i="1"/>
  <c r="D9" i="1"/>
  <c r="R42" i="3" l="1"/>
  <c r="R14" i="3"/>
  <c r="R19" i="3"/>
  <c r="D24" i="3"/>
  <c r="R24" i="3" s="1"/>
  <c r="C30" i="3"/>
  <c r="N16" i="3"/>
  <c r="N26" i="3" s="1"/>
  <c r="R41" i="3"/>
  <c r="I16" i="3"/>
  <c r="I26" i="3" s="1"/>
  <c r="D57" i="3"/>
  <c r="C59" i="3"/>
  <c r="C60" i="3"/>
  <c r="R13" i="3"/>
  <c r="D16" i="3"/>
  <c r="E57" i="3" l="1"/>
  <c r="D59" i="3"/>
  <c r="D60" i="3"/>
  <c r="C58" i="3"/>
  <c r="C31" i="3"/>
  <c r="D26" i="3"/>
  <c r="R16" i="3"/>
  <c r="R26" i="3" l="1"/>
  <c r="C33" i="3"/>
  <c r="F57" i="3"/>
  <c r="E59" i="3"/>
  <c r="E60" i="3"/>
  <c r="G57" i="3" l="1"/>
  <c r="F59" i="3"/>
  <c r="F60" i="3"/>
  <c r="C44" i="3"/>
  <c r="G59" i="3" l="1"/>
  <c r="G60" i="3"/>
  <c r="H57" i="3"/>
  <c r="C45" i="3"/>
  <c r="D10" i="3" s="1"/>
  <c r="D30" i="3" l="1"/>
  <c r="H59" i="3"/>
  <c r="H60" i="3"/>
  <c r="I57" i="3"/>
  <c r="I59" i="3" l="1"/>
  <c r="I60" i="3"/>
  <c r="J57" i="3"/>
  <c r="D31" i="3"/>
  <c r="D58" i="3"/>
  <c r="D33" i="3" l="1"/>
  <c r="J60" i="3"/>
  <c r="K57" i="3"/>
  <c r="J59" i="3"/>
  <c r="L57" i="3" l="1"/>
  <c r="K59" i="3"/>
  <c r="K60" i="3"/>
  <c r="D44" i="3"/>
  <c r="D45" i="3" l="1"/>
  <c r="E10" i="3" s="1"/>
  <c r="M57" i="3"/>
  <c r="L59" i="3"/>
  <c r="L60" i="3"/>
  <c r="N57" i="3" l="1"/>
  <c r="M59" i="3"/>
  <c r="M60" i="3"/>
  <c r="E30" i="3"/>
  <c r="O57" i="3" l="1"/>
  <c r="N59" i="3"/>
  <c r="N60" i="3"/>
  <c r="E31" i="3"/>
  <c r="E58" i="3"/>
  <c r="O59" i="3" l="1"/>
  <c r="O60" i="3"/>
  <c r="P57" i="3"/>
  <c r="E33" i="3"/>
  <c r="E44" i="3" l="1"/>
  <c r="P59" i="3"/>
  <c r="P60" i="3"/>
  <c r="Q57" i="3"/>
  <c r="Q59" i="3" l="1"/>
  <c r="Q60" i="3"/>
  <c r="E45" i="3"/>
  <c r="F10" i="3" s="1"/>
  <c r="F30" i="3" l="1"/>
  <c r="F31" i="3" l="1"/>
  <c r="F58" i="3"/>
  <c r="F33" i="3" l="1"/>
  <c r="F44" i="3" l="1"/>
  <c r="F45" i="3" l="1"/>
  <c r="G10" i="3" s="1"/>
  <c r="G30" i="3" l="1"/>
  <c r="G31" i="3" l="1"/>
  <c r="G58" i="3"/>
  <c r="G33" i="3" l="1"/>
  <c r="G44" i="3" l="1"/>
  <c r="G45" i="3" l="1"/>
  <c r="H10" i="3" s="1"/>
  <c r="H30" i="3" l="1"/>
  <c r="H31" i="3" l="1"/>
  <c r="H33" i="3" s="1"/>
  <c r="H44" i="3" s="1"/>
  <c r="H45" i="3" s="1"/>
  <c r="I10" i="3" s="1"/>
  <c r="H58" i="3"/>
  <c r="I30" i="3" l="1"/>
  <c r="I31" i="3" s="1"/>
  <c r="I33" i="3" s="1"/>
  <c r="I44" i="3" s="1"/>
  <c r="I45" i="3" s="1"/>
  <c r="J10" i="3" s="1"/>
  <c r="J30" i="3" l="1"/>
  <c r="J31" i="3" s="1"/>
  <c r="J33" i="3" s="1"/>
  <c r="J44" i="3" s="1"/>
  <c r="J45" i="3" s="1"/>
  <c r="K10" i="3" s="1"/>
  <c r="I58" i="3"/>
  <c r="K30" i="3" l="1"/>
  <c r="K31" i="3" s="1"/>
  <c r="K33" i="3" s="1"/>
  <c r="K44" i="3" s="1"/>
  <c r="K45" i="3" s="1"/>
  <c r="L10" i="3" s="1"/>
  <c r="J58" i="3"/>
  <c r="K58" i="3" l="1"/>
  <c r="L30" i="3"/>
  <c r="L31" i="3" s="1"/>
  <c r="L33" i="3" s="1"/>
  <c r="L44" i="3" s="1"/>
  <c r="L45" i="3" s="1"/>
  <c r="M10" i="3" s="1"/>
  <c r="L58" i="3" l="1"/>
  <c r="M30" i="3"/>
  <c r="M31" i="3" s="1"/>
  <c r="M33" i="3" s="1"/>
  <c r="M44" i="3" s="1"/>
  <c r="M45" i="3" s="1"/>
  <c r="N10" i="3" s="1"/>
  <c r="M58" i="3" l="1"/>
  <c r="N30" i="3"/>
  <c r="N31" i="3" s="1"/>
  <c r="N33" i="3" s="1"/>
  <c r="N44" i="3" s="1"/>
  <c r="N45" i="3" s="1"/>
  <c r="O10" i="3" s="1"/>
  <c r="O30" i="3" l="1"/>
  <c r="O31" i="3" s="1"/>
  <c r="O33" i="3" s="1"/>
  <c r="O44" i="3" s="1"/>
  <c r="O45" i="3" s="1"/>
  <c r="P10" i="3" s="1"/>
  <c r="N58" i="3"/>
  <c r="P30" i="3" l="1"/>
  <c r="P31" i="3" s="1"/>
  <c r="P33" i="3" s="1"/>
  <c r="P44" i="3" s="1"/>
  <c r="P45" i="3" s="1"/>
  <c r="Q10" i="3" s="1"/>
  <c r="O58" i="3"/>
  <c r="Q30" i="3" l="1"/>
  <c r="P58" i="3"/>
  <c r="Q58" i="3" l="1"/>
  <c r="Q31" i="3"/>
  <c r="R30" i="3"/>
  <c r="Q33" i="3" l="1"/>
  <c r="R31" i="3"/>
  <c r="Q44" i="3" l="1"/>
  <c r="R33" i="3"/>
  <c r="R44" i="3" l="1"/>
  <c r="Q45" i="3"/>
  <c r="R45" i="3" s="1"/>
</calcChain>
</file>

<file path=xl/sharedStrings.xml><?xml version="1.0" encoding="utf-8"?>
<sst xmlns="http://schemas.openxmlformats.org/spreadsheetml/2006/main" count="196" uniqueCount="186">
  <si>
    <t>PROMOTORA APOTEMA S.A.S. — PROCESO DE REORGANIZACIÓN (LEY 1116 DE 2006)</t>
  </si>
  <si>
    <t>Calificación y graduación de créditos y tratamiento previsto en el Acuerdo</t>
  </si>
  <si>
    <t>Cifras en pesos colombianos. Pasivo reorganizable confirmado en la audiencia de resolución de objeciones de 15 y 16 de enero de 2026 (acta rad. 2026-01-036072).</t>
  </si>
  <si>
    <t>Clase de acreedor</t>
  </si>
  <si>
    <t>Valor reconocido</t>
  </si>
  <si>
    <t>% Part.</t>
  </si>
  <si>
    <t>Tratamiento en el Acuerdo</t>
  </si>
  <si>
    <t>Valor con efecto en caja</t>
  </si>
  <si>
    <t>Valor sin efecto en caja</t>
  </si>
  <si>
    <t>Período de pago</t>
  </si>
  <si>
    <t>Primera clase (laboral)</t>
  </si>
  <si>
    <t>Pago del 100% del capital, sin intereses</t>
  </si>
  <si>
    <t>2S-2026</t>
  </si>
  <si>
    <t>Primera clase (fiscal)</t>
  </si>
  <si>
    <t>Pago del 100% del capital</t>
  </si>
  <si>
    <t>Primera clase (parafiscal)</t>
  </si>
  <si>
    <t>Segunda clase (promitentes compradores)</t>
  </si>
  <si>
    <t>Cesión de la posición contractual a un tercero — no transita por el flujo de caja</t>
  </si>
  <si>
    <t>No aplica (sin caja)</t>
  </si>
  <si>
    <t>Cuarta clase (proveedores)</t>
  </si>
  <si>
    <t>Quita del 70%; pago en efectivo del 30% restante</t>
  </si>
  <si>
    <t>2028 y 2030</t>
  </si>
  <si>
    <t>Quinta clase (quirografarios y Bancolombia)</t>
  </si>
  <si>
    <t>Dación en pago ($4.000 mm) + cesión a tercero ($23.007 mm) + postergación sin caja ($5.000 mm) + saldo en efectivo a 10 años</t>
  </si>
  <si>
    <t>2031 – 2040</t>
  </si>
  <si>
    <t>TOTAL PASIVO REORGANIZABLE</t>
  </si>
  <si>
    <t>Obligaciones por fuera del pasivo reorganizable — gastos de administración</t>
  </si>
  <si>
    <t>Retenciones en la fuente</t>
  </si>
  <si>
    <t>Abono de $1.500 mm en 2026; saldo liquidado al 29% E.A.</t>
  </si>
  <si>
    <t>Aportes al sistema de seguridad social</t>
  </si>
  <si>
    <t>Pago como gasto de administración</t>
  </si>
  <si>
    <t>Subtotal gastos de administración</t>
  </si>
  <si>
    <t>Notas y verificaciones</t>
  </si>
  <si>
    <t>• Valores reconocidos tomados literalmente de la calificación y graduación suministrada por el usuario (celdas azules).</t>
  </si>
  <si>
    <t>• Las retenciones en la fuente y los aportes a seguridad social NO integran el pasivo reorganizable: se atienden como gastos de administración con prioridad sobre el Acuerdo (art. 71 Ley 1116).</t>
  </si>
  <si>
    <t>• La segunda clase (promitentes compradores) se cede a un tercero: no genera erogación de caja para la deudora, pero sí extingue pasivo del Acuerdo.</t>
  </si>
  <si>
    <t>• La quinta clase se reduce en $4.000 millones vía dación en pago, $23.007 millones vía cesión a un tercero y $5.000 millones sometidos a mecanismo de postergación; el saldo se atiende en efectivo.</t>
  </si>
  <si>
    <t>• ADVERTENCIA: la postergación NO extingue la obligación. El crédito postergado de $5.000 millones subsiste, subordinado al pago íntegro de las demás acreencias del Acuerdo (art. 69 Ley 1116 para vinculados), y debe quedar expresamente regulado en el texto del Acuerdo.</t>
  </si>
  <si>
    <t>• Advertencia de prelación: el art. 41 de la Ley 1116 exige mayorías especiales para modificar la prelación legal; la quita del 70% a la cuarta clase mientras la quinta recibe pago íntegro por otras vías debe revisarse frente a esa regla.</t>
  </si>
  <si>
    <t>PARÁMETROS Y SUPUESTOS DEL MODELO</t>
  </si>
  <si>
    <t>Celdas azules = insumo editable · verdes = enlace a otra hoja · negras = fórmula. Fondo amarillo = supuesto crítico.</t>
  </si>
  <si>
    <t>A. BASE OPERATIVA — ESTADOS FINANCIEROS PROMOTORA APOTEMA S.A.S.</t>
  </si>
  <si>
    <t>Saldo de caja inicial al 30-jun-2026</t>
  </si>
  <si>
    <t>Nota 5 EEFF</t>
  </si>
  <si>
    <t>Ventas — base año 2025 (anual)</t>
  </si>
  <si>
    <t>Estado de resultados 2025 · Nota 20: arrendamiento Estación de Servicios El Vergel</t>
  </si>
  <si>
    <t>Otros ingresos operacionales — base anual</t>
  </si>
  <si>
    <t>INSUMO A DILIGENCIAR</t>
  </si>
  <si>
    <t>Nuevos proyectos — ingreso neto anual desde el año de inicio</t>
  </si>
  <si>
    <t>INSUMO A DILIGENCIAR — flujo neto de nuevos desarrollos inmobiliarios</t>
  </si>
  <si>
    <t>Nuevos proyectos — año de inicio</t>
  </si>
  <si>
    <t>Soporta los pagos desde 2031</t>
  </si>
  <si>
    <t>Gastos de administración — base año 2025 (anual)</t>
  </si>
  <si>
    <t>Nota 22 EEFF — año 2025</t>
  </si>
  <si>
    <t>Gastos de administración del proceso (honorarios concursales) — anual</t>
  </si>
  <si>
    <t>INSUMO A DILIGENCIAR. Referencia: 1S-2026 = $490.454.144 (anualizado $980.908.288)</t>
  </si>
  <si>
    <t>IPC anual proyectado (indexación de ingresos y gastos)</t>
  </si>
  <si>
    <t>Supuesto — ajustar</t>
  </si>
  <si>
    <t>Caja mínima operativa a mantener</t>
  </si>
  <si>
    <t>Colchón exigido antes de dimensionar el préstamo de socios</t>
  </si>
  <si>
    <t>B. RECURSOS EXTRAORDINARIOS</t>
  </si>
  <si>
    <t>Venta de activo — valor</t>
  </si>
  <si>
    <t>Venta en septiembre de 2026, recaudo en octubre de 2026</t>
  </si>
  <si>
    <t>Venta de activo — año de recaudo</t>
  </si>
  <si>
    <t>Columna 2S-2026</t>
  </si>
  <si>
    <t>Año de perfeccionamiento de cesiones y dación en pago</t>
  </si>
  <si>
    <t>Operaciones sin efecto en caja</t>
  </si>
  <si>
    <t>C. GASTOS DE ADMINISTRACIÓN — RETENCIONES EN LA FUENTE Y SEGURIDAD SOCIAL</t>
  </si>
  <si>
    <t>Retenciones en la fuente — obligación total</t>
  </si>
  <si>
    <t>No integra el pasivo reorganizable: gasto de administración (art. 71 Ley 1116)</t>
  </si>
  <si>
    <t>Retenciones en la fuente — abono en efectivo en 2026</t>
  </si>
  <si>
    <t>Con cargo al producto de la venta del activo</t>
  </si>
  <si>
    <t>Retenciones en la fuente — año del abono</t>
  </si>
  <si>
    <t>Retenciones en la fuente — saldo de capital</t>
  </si>
  <si>
    <t>Base sobre la que se liquidan intereses</t>
  </si>
  <si>
    <t>Retenciones en la fuente — tasa de interés</t>
  </si>
  <si>
    <t>29% efectivo anual</t>
  </si>
  <si>
    <t>Retenciones en la fuente — año de pago del saldo</t>
  </si>
  <si>
    <t>SUPUESTO A CONFIRMAR — el art. 34 num. 9 de la Ley 1116 sujeta las retenciones a plazo especial</t>
  </si>
  <si>
    <t>Retenciones en la fuente — años de causación de intereses</t>
  </si>
  <si>
    <t>Retenciones en la fuente — saldo liquidado con intereses</t>
  </si>
  <si>
    <t>Capital más intereses al 29% E.A.</t>
  </si>
  <si>
    <t>Aportes al sistema de seguridad social — total</t>
  </si>
  <si>
    <t>Gasto de administración</t>
  </si>
  <si>
    <t>Aportes al sistema de seguridad social — año de pago</t>
  </si>
  <si>
    <t>D. ESTRUCTURA DE PAGO DEL ACUERDO</t>
  </si>
  <si>
    <t>Año de pago de la primera clase (laboral, fiscal y parafiscal)</t>
  </si>
  <si>
    <t>Cuarta clase — quita</t>
  </si>
  <si>
    <t>Quita del 70% sobre el capital reconocido</t>
  </si>
  <si>
    <t>Cuarta clase — % del saldo pagadero en el primer año</t>
  </si>
  <si>
    <t>Cuarta clase — año del primer pago</t>
  </si>
  <si>
    <t>Cuarta clase — % del saldo pagadero en el segundo año</t>
  </si>
  <si>
    <t>Cuarta clase — año del segundo pago</t>
  </si>
  <si>
    <t>E. QUINTA CLASE — MECANISMOS DE SOLUCIÓN</t>
  </si>
  <si>
    <t>Quinta clase — dación en pago de activo</t>
  </si>
  <si>
    <t>Sin efecto en caja — extingue obligación</t>
  </si>
  <si>
    <t>Quinta clase — cesión a tercero</t>
  </si>
  <si>
    <t>Quinta clase — crédito sometido a postergación</t>
  </si>
  <si>
    <t>Sin efecto en caja — NO extingue la obligación: subsiste subordinada (art. 69 Ley 1116)</t>
  </si>
  <si>
    <t>Quinta clase — saldo con efecto en caja</t>
  </si>
  <si>
    <t>Diferencia que sí transita por el flujo</t>
  </si>
  <si>
    <t>Quinta clase — año de inicio de pagos</t>
  </si>
  <si>
    <t>Quinta clase — plazo (años)</t>
  </si>
  <si>
    <t>Quinta clase — amortización anual</t>
  </si>
  <si>
    <t>Cuota anual constante de capital</t>
  </si>
  <si>
    <t>Tasa de interés del Acuerdo</t>
  </si>
  <si>
    <t>INSUMO A DEFINIR — el modelo corre a capital puro mientras sea 0%</t>
  </si>
  <si>
    <t>F. PARTIDAS SIN EFECTO EN CAJA (control)</t>
  </si>
  <si>
    <t>Segunda clase — cesión a tercero</t>
  </si>
  <si>
    <t>Promitentes compradores</t>
  </si>
  <si>
    <t>Pasivo extinguido sin caja (cesiones + dación + quita)</t>
  </si>
  <si>
    <t>Solución definitiva</t>
  </si>
  <si>
    <t>Pasivo postergado (subsiste, subordinado)</t>
  </si>
  <si>
    <t>No extingue la obligación</t>
  </si>
  <si>
    <t>Total pasivo reorganizable</t>
  </si>
  <si>
    <t>% del pasivo atendido sin erogación de caja</t>
  </si>
  <si>
    <t>PROMOTORA APOTEMA S.A.S. — FLUJO DE CAJA DEL ACUERDO DE REORGANIZACIÓN</t>
  </si>
  <si>
    <t>ESCENARIO 2 — con postergación de $5.000 millones de la quinta clase · proyección anual 2S-2026 a 2040 · cifras en pesos colombianos</t>
  </si>
  <si>
    <t>Concepto</t>
  </si>
  <si>
    <t>2027</t>
  </si>
  <si>
    <t>2028</t>
  </si>
  <si>
    <t>2029</t>
  </si>
  <si>
    <t>2030</t>
  </si>
  <si>
    <t>2031</t>
  </si>
  <si>
    <t>2032</t>
  </si>
  <si>
    <t>2033</t>
  </si>
  <si>
    <t>2034</t>
  </si>
  <si>
    <t>2035</t>
  </si>
  <si>
    <t>2036</t>
  </si>
  <si>
    <t>2037</t>
  </si>
  <si>
    <t>2038</t>
  </si>
  <si>
    <t>2039</t>
  </si>
  <si>
    <t>2040</t>
  </si>
  <si>
    <t>TOTAL</t>
  </si>
  <si>
    <t>Año calendario</t>
  </si>
  <si>
    <t>Fracción del año</t>
  </si>
  <si>
    <t>Factor de indexación IPC</t>
  </si>
  <si>
    <t>SALDO INICIAL DE CAJA</t>
  </si>
  <si>
    <t>INGRESOS OPERACIONALES</t>
  </si>
  <si>
    <t>Ventas (arrendamientos)</t>
  </si>
  <si>
    <t>Otros ingresos operacionales</t>
  </si>
  <si>
    <t>Nuevos proyectos</t>
  </si>
  <si>
    <t>Total ingresos operacionales</t>
  </si>
  <si>
    <t>EGRESOS OPERACIONALES Y GASTOS DE ADMINISTRACIÓN</t>
  </si>
  <si>
    <t>Gastos de administración (base 2025, indexados)</t>
  </si>
  <si>
    <t>Gastos de administración del proceso (honorarios concursales)</t>
  </si>
  <si>
    <t>Retenciones en la fuente — abono en efectivo</t>
  </si>
  <si>
    <t>Retenciones en la fuente — saldo liquidado al 29% E.A.</t>
  </si>
  <si>
    <t>Total egresos operacionales y gastos de administración</t>
  </si>
  <si>
    <t>FLUJO OPERACIONAL NETO</t>
  </si>
  <si>
    <t>RECURSOS EXTRAORDINARIOS</t>
  </si>
  <si>
    <t>Venta de activo (venta sep-2026 / recaudo oct-2026)</t>
  </si>
  <si>
    <t>Total recursos extraordinarios</t>
  </si>
  <si>
    <t>FLUJO DISPONIBLE ANTES DEL PAGO DEL ACUERDO</t>
  </si>
  <si>
    <t>PAGO DEL ACUERDO — SEGÚN PRELACIÓN DE CRÉDITOS</t>
  </si>
  <si>
    <t>Primera clase — laboral (100% del capital, sin intereses)</t>
  </si>
  <si>
    <t>Primera clase — fiscal</t>
  </si>
  <si>
    <t>Primera clase — parafiscal</t>
  </si>
  <si>
    <t>Segunda clase — promitentes compradores (cedida a tercero, sin caja)</t>
  </si>
  <si>
    <t>Cuarta clase — 30% en efectivo (quita del 70%)</t>
  </si>
  <si>
    <t>Quinta clase — saldo en efectivo (10 años)</t>
  </si>
  <si>
    <t>Total pagos del Acuerdo</t>
  </si>
  <si>
    <t>FLUJO NETO DEL PERÍODO</t>
  </si>
  <si>
    <t>SALDO FINAL DE CAJA</t>
  </si>
  <si>
    <t>PARTIDAS SIN EFECTO EN CAJA (extinción de pasivo)</t>
  </si>
  <si>
    <t>Cuarta clase — quita del 70%</t>
  </si>
  <si>
    <t>Subtotal — pasivo extinguido sin caja</t>
  </si>
  <si>
    <t>Quinta clase — crédito postergado (subsiste, subordinado)</t>
  </si>
  <si>
    <t>Total pasivo atendido sin caja</t>
  </si>
  <si>
    <t>INDICADORES DE SEGUIMIENTO</t>
  </si>
  <si>
    <t>Pagos del Acuerdo acumulados (caja)</t>
  </si>
  <si>
    <t>Préstamo de socios acumulado</t>
  </si>
  <si>
    <t>% del pasivo con solución definitiva (caja + extinción)</t>
  </si>
  <si>
    <t>% del pasivo cubierto por el Acuerdo (incluye postergación)</t>
  </si>
  <si>
    <t>Gastos de administración pagados (retenciones y seguridad social)</t>
  </si>
  <si>
    <t>• Premisas aplicadas (instrucción del usuario): venta de activo por $6.482 millones en septiembre de 2026 con recaudo en octubre de 2026; primera clase laboral al 100% sin intereses junto con fiscales y parafiscales; segunda clase (promitentes compradores) cedida a un tercero, por fuera del flujo; cuarta clase con quita del 70% y pago del 30% en caja en 2028 y 2030; quinta clase reducida en $4.000 millones por dación en pago, $23.007 millones por cesión a tercero y $5.000 millones sometidos a postergación sin caja, con el saldo pagadero en 10 años desde 2031.</t>
  </si>
  <si>
    <t>• Mecanismo de postergación: los $5.000 millones postergados NO se extinguen. Subsisten como obligación subordinada, exigible únicamente una vez cancelado el resto del pasivo del Acuerdo. Por eso el modelo los reporta en una línea separada del pasivo extinguido y distingue dos indicadores: solución definitiva (91,9%) y cobertura total del Acuerdo (100%). Si los titulares son personas especialmente relacionadas con la deudora, la postergación opera por ministerio de la ley (art. 69 Ley 1116); si no lo son, requiere su consentimiento y debe pactarse expresamente en el Acuerdo, con revisión frente al art. 41.</t>
  </si>
  <si>
    <t>• Retenciones en la fuente: obligación total de $4.000 millones, con abono en efectivo de $1.500 millones en 2026 y saldo de capital de $2.500 millones liquidado al 29% efectivo anual. SUPUESTO A CONFIRMAR: el modelo asume el pago del saldo liquidado en 2027; la celda C26 de PARÁMETROS permite reprogramarlo y los intereses se recalculan automáticamente por el número de años transcurridos.</t>
  </si>
  <si>
    <t>• Aportes al sistema de seguridad social por $300 millones tratados como gasto de administración, pagaderos en 2026 (celda C30 de PARÁMETROS para reprogramar).</t>
  </si>
  <si>
    <t>• Las retenciones en la fuente y los aportes a seguridad social no integran el pasivo reorganizable: son gastos de administración con prioridad de pago sobre el Acuerdo (art. 71 Ley 1116) y por eso figuran antes del bloque de prelación.</t>
  </si>
  <si>
    <t>• El préstamo de socios se calcula automáticamente como el faltante de caja de cada período: es la magnitud de recursos que los accionistas deben aportar para cumplir el Acuerdo con las demás premisas dadas. Si los aportantes son personas vinculadas, su crédito queda postergado por el art. 69 de la Ley 1116.</t>
  </si>
  <si>
    <t>• Alerta de sostenibilidad: los gastos de administración del 1S-2026 ascendieron a $490.454.144 (anualizados $980.908.288), muy por encima de la base 2025 empleada. Si ese nivel se mantiene, el flujo operacional será negativo y la necesidad de préstamo de socios aumentará.</t>
  </si>
  <si>
    <t>• Alerta sobre la fuente de ingresos: la totalidad de los ingresos operacionales proviene del arrendamiento de la Estación de Servicios El Vergel, sobre la cual cursa proceso de restitución y terminación del leasing con Banco de Occidente ante el Juzgado 60 Civil del Circuito de Bogotá (rad. 110013103006020250017600).</t>
  </si>
  <si>
    <t>• Pendiente por definir: tasa de interés aplicable a cada clase del Acuerdo (el modelo corre a capital puro con tasa 0%), identificación del activo objeto de venta y del activo objeto de dación en pago, y monto esperado de los nuevos proyectos desde 2031.</t>
  </si>
  <si>
    <t>Proyectos nuevos requeridos</t>
  </si>
  <si>
    <t>Valor Obligación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</si>
</sst>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8" formatCode="&quot;$&quot;#,##0.00;[Red]\-&quot;$&quot;#,##0.00"/>
    <numFmt numFmtId="164" formatCode="\$#,##0.00;&quot;($&quot;#,##0.00\);\-"/>
    <numFmt numFmtId="165" formatCode="0.0%;\(0.0%\);\-"/>
    <numFmt numFmtId="166" formatCode="\$#,##0;&quot;($&quot;#,##0\);\-"/>
    <numFmt numFmtId="167" formatCode="0.0"/>
    <numFmt numFmtId="168" formatCode="0.0000"/>
    <numFmt numFmtId="169" formatCode="0.000%"/>
  </numFmts>
  <fonts count="14" x14ac:knownFonts="1">
    <font>
      <sz val="11"/>
      <color theme="1"/>
      <name val="Calibri"/>
      <family val="2"/>
      <charset val="1"/>
    </font>
    <font>
      <b/>
      <sz val="13"/>
      <color rgb="FFFFFFFF"/>
      <name val="Arial"/>
      <family val="2"/>
    </font>
    <font>
      <b/>
      <sz val="10"/>
      <color rgb="FFFFFFFF"/>
      <name val="Arial"/>
      <family val="2"/>
    </font>
    <font>
      <i/>
      <sz val="8"/>
      <color rgb="FF595959"/>
      <name val="Arial"/>
      <family val="2"/>
    </font>
    <font>
      <b/>
      <sz val="9"/>
      <color rgb="FFFFFFFF"/>
      <name val="Arial"/>
      <family val="2"/>
    </font>
    <font>
      <sz val="9"/>
      <name val="Arial"/>
      <family val="2"/>
    </font>
    <font>
      <sz val="9"/>
      <color rgb="FF0000FF"/>
      <name val="Arial"/>
      <family val="2"/>
    </font>
    <font>
      <sz val="9"/>
      <color rgb="FF008000"/>
      <name val="Arial"/>
      <family val="2"/>
    </font>
    <font>
      <b/>
      <sz val="9"/>
      <name val="Arial"/>
      <family val="2"/>
    </font>
    <font>
      <b/>
      <sz val="9"/>
      <color rgb="FF1F3864"/>
      <name val="Arial"/>
      <family val="2"/>
    </font>
    <font>
      <sz val="9"/>
      <color rgb="FFC00000"/>
      <name val="Arial"/>
      <family val="2"/>
    </font>
    <font>
      <sz val="11"/>
      <color theme="1"/>
      <name val="Calibri"/>
      <family val="2"/>
      <charset val="1"/>
    </font>
    <font>
      <b/>
      <sz val="12"/>
      <color theme="1"/>
      <name val="Arial"/>
      <family val="2"/>
    </font>
    <font>
      <sz val="12"/>
      <color theme="1"/>
      <name val="Arial"/>
      <family val="2"/>
    </font>
  </fonts>
  <fills count="9">
    <fill>
      <patternFill patternType="none"/>
    </fill>
    <fill>
      <patternFill patternType="gray125"/>
    </fill>
    <fill>
      <patternFill patternType="solid">
        <fgColor rgb="FF1F3864"/>
        <bgColor rgb="FF333333"/>
      </patternFill>
    </fill>
    <fill>
      <patternFill patternType="solid">
        <fgColor rgb="FF2E5496"/>
        <bgColor rgb="FF1F3864"/>
      </patternFill>
    </fill>
    <fill>
      <patternFill patternType="solid">
        <fgColor rgb="FFDEEBF7"/>
        <bgColor rgb="FFD9E2F3"/>
      </patternFill>
    </fill>
    <fill>
      <patternFill patternType="solid">
        <fgColor rgb="FFD9E2F3"/>
        <bgColor rgb="FFDEEBF7"/>
      </patternFill>
    </fill>
    <fill>
      <patternFill patternType="solid">
        <fgColor rgb="FFFFFF00"/>
        <bgColor rgb="FFFFFF00"/>
      </patternFill>
    </fill>
    <fill>
      <patternFill patternType="solid">
        <fgColor rgb="FFFFF2CC"/>
        <bgColor rgb="FFF2F2F2"/>
      </patternFill>
    </fill>
    <fill>
      <patternFill patternType="solid">
        <fgColor rgb="FFF2F2F2"/>
        <bgColor rgb="FFDEEBF7"/>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9" fontId="11" fillId="0" borderId="0" applyFont="0" applyFill="0" applyBorder="0" applyAlignment="0" applyProtection="0"/>
  </cellStyleXfs>
  <cellXfs count="59">
    <xf numFmtId="0" fontId="0" fillId="0" borderId="0" xfId="0"/>
    <xf numFmtId="0" fontId="1" fillId="2" borderId="0" xfId="0" applyFont="1" applyFill="1"/>
    <xf numFmtId="0" fontId="0" fillId="2" borderId="0" xfId="0" applyFill="1"/>
    <xf numFmtId="0" fontId="2" fillId="2" borderId="0" xfId="0" applyFont="1" applyFill="1"/>
    <xf numFmtId="0" fontId="3" fillId="0" borderId="0" xfId="0" applyFont="1"/>
    <xf numFmtId="0" fontId="4" fillId="3" borderId="1" xfId="0" applyFont="1" applyFill="1" applyBorder="1" applyAlignment="1">
      <alignment horizontal="center" vertical="center" wrapText="1"/>
    </xf>
    <xf numFmtId="0" fontId="5" fillId="0" borderId="1" xfId="0" applyFont="1" applyBorder="1"/>
    <xf numFmtId="164" fontId="6" fillId="0" borderId="1" xfId="0" applyNumberFormat="1" applyFont="1" applyBorder="1"/>
    <xf numFmtId="165" fontId="5" fillId="0" borderId="1" xfId="0" applyNumberFormat="1" applyFont="1" applyBorder="1"/>
    <xf numFmtId="0" fontId="5" fillId="0" borderId="1" xfId="0" applyFont="1" applyBorder="1" applyAlignment="1">
      <alignment vertical="top" wrapText="1"/>
    </xf>
    <xf numFmtId="164" fontId="5" fillId="0" borderId="1" xfId="0" applyNumberFormat="1" applyFont="1" applyBorder="1"/>
    <xf numFmtId="0" fontId="5" fillId="0" borderId="1" xfId="0" applyFont="1" applyBorder="1" applyAlignment="1">
      <alignment horizontal="center"/>
    </xf>
    <xf numFmtId="164" fontId="7" fillId="0" borderId="1" xfId="0" applyNumberFormat="1" applyFont="1" applyBorder="1"/>
    <xf numFmtId="0" fontId="8" fillId="4" borderId="1" xfId="0" applyFont="1" applyFill="1" applyBorder="1"/>
    <xf numFmtId="164" fontId="8" fillId="4" borderId="1" xfId="0" applyNumberFormat="1" applyFont="1" applyFill="1" applyBorder="1"/>
    <xf numFmtId="165" fontId="8" fillId="4" borderId="1" xfId="0" applyNumberFormat="1" applyFont="1" applyFill="1" applyBorder="1"/>
    <xf numFmtId="0" fontId="0" fillId="4" borderId="1" xfId="0" applyFill="1" applyBorder="1"/>
    <xf numFmtId="0" fontId="9" fillId="0" borderId="0" xfId="0" applyFont="1"/>
    <xf numFmtId="0" fontId="0" fillId="0" borderId="1" xfId="0" applyBorder="1"/>
    <xf numFmtId="0" fontId="9" fillId="5" borderId="1" xfId="0" applyFont="1" applyFill="1" applyBorder="1"/>
    <xf numFmtId="0" fontId="0" fillId="5" borderId="1" xfId="0" applyFill="1" applyBorder="1"/>
    <xf numFmtId="0" fontId="5" fillId="0" borderId="0" xfId="0" applyFont="1"/>
    <xf numFmtId="166" fontId="6" fillId="0" borderId="1" xfId="0" applyNumberFormat="1" applyFont="1" applyBorder="1"/>
    <xf numFmtId="166" fontId="6" fillId="6" borderId="1" xfId="0" applyNumberFormat="1" applyFont="1" applyFill="1" applyBorder="1"/>
    <xf numFmtId="1" fontId="6" fillId="0" borderId="1" xfId="0" applyNumberFormat="1" applyFont="1" applyBorder="1"/>
    <xf numFmtId="165" fontId="6" fillId="6" borderId="1" xfId="0" applyNumberFormat="1" applyFont="1" applyFill="1" applyBorder="1"/>
    <xf numFmtId="166" fontId="5" fillId="0" borderId="1" xfId="0" applyNumberFormat="1" applyFont="1" applyBorder="1"/>
    <xf numFmtId="1" fontId="6" fillId="6" borderId="1" xfId="0" applyNumberFormat="1" applyFont="1" applyFill="1" applyBorder="1"/>
    <xf numFmtId="167" fontId="5" fillId="0" borderId="1" xfId="0" applyNumberFormat="1" applyFont="1" applyBorder="1"/>
    <xf numFmtId="165" fontId="6" fillId="0" borderId="1" xfId="0" applyNumberFormat="1" applyFont="1" applyBorder="1"/>
    <xf numFmtId="166" fontId="7" fillId="0" borderId="1" xfId="0" applyNumberFormat="1" applyFont="1" applyBorder="1"/>
    <xf numFmtId="0" fontId="4" fillId="3" borderId="1" xfId="0" applyFont="1" applyFill="1" applyBorder="1"/>
    <xf numFmtId="0" fontId="4" fillId="3" borderId="1" xfId="0" applyFont="1" applyFill="1" applyBorder="1" applyAlignment="1">
      <alignment horizontal="center"/>
    </xf>
    <xf numFmtId="1" fontId="3" fillId="0" borderId="0" xfId="0" applyNumberFormat="1" applyFont="1" applyAlignment="1">
      <alignment horizontal="center"/>
    </xf>
    <xf numFmtId="167" fontId="3" fillId="0" borderId="0" xfId="0" applyNumberFormat="1" applyFont="1" applyAlignment="1">
      <alignment horizontal="center"/>
    </xf>
    <xf numFmtId="168" fontId="3" fillId="0" borderId="0" xfId="0" applyNumberFormat="1" applyFont="1" applyAlignment="1">
      <alignment horizontal="center"/>
    </xf>
    <xf numFmtId="166" fontId="7" fillId="4" borderId="1" xfId="0" applyNumberFormat="1" applyFont="1" applyFill="1" applyBorder="1"/>
    <xf numFmtId="166" fontId="8" fillId="4" borderId="1" xfId="0" applyNumberFormat="1" applyFont="1" applyFill="1" applyBorder="1"/>
    <xf numFmtId="0" fontId="5" fillId="0" borderId="0" xfId="0" applyFont="1" applyAlignment="1">
      <alignment indent="1"/>
    </xf>
    <xf numFmtId="166" fontId="5" fillId="0" borderId="0" xfId="0" applyNumberFormat="1" applyFont="1"/>
    <xf numFmtId="166" fontId="8" fillId="4" borderId="0" xfId="0" applyNumberFormat="1" applyFont="1" applyFill="1"/>
    <xf numFmtId="0" fontId="8" fillId="4" borderId="1" xfId="0" applyFont="1" applyFill="1" applyBorder="1" applyAlignment="1">
      <alignment indent="1"/>
    </xf>
    <xf numFmtId="0" fontId="8" fillId="7" borderId="1" xfId="0" applyFont="1" applyFill="1" applyBorder="1"/>
    <xf numFmtId="166" fontId="8" fillId="7" borderId="1" xfId="0" applyNumberFormat="1" applyFont="1" applyFill="1" applyBorder="1"/>
    <xf numFmtId="166" fontId="10" fillId="0" borderId="0" xfId="0" applyNumberFormat="1" applyFont="1"/>
    <xf numFmtId="0" fontId="5" fillId="8" borderId="1" xfId="0" applyFont="1" applyFill="1" applyBorder="1" applyAlignment="1">
      <alignment indent="1"/>
    </xf>
    <xf numFmtId="166" fontId="5" fillId="8" borderId="1" xfId="0" applyNumberFormat="1" applyFont="1" applyFill="1" applyBorder="1"/>
    <xf numFmtId="166" fontId="8" fillId="8" borderId="1" xfId="0" applyNumberFormat="1" applyFont="1" applyFill="1" applyBorder="1"/>
    <xf numFmtId="0" fontId="5" fillId="0" borderId="1" xfId="0" applyFont="1" applyBorder="1" applyAlignment="1">
      <alignment indent="1"/>
    </xf>
    <xf numFmtId="166" fontId="10" fillId="0" borderId="1" xfId="0" applyNumberFormat="1" applyFont="1" applyBorder="1"/>
    <xf numFmtId="165" fontId="8" fillId="0" borderId="1" xfId="0" applyNumberFormat="1" applyFont="1" applyBorder="1"/>
    <xf numFmtId="0" fontId="12" fillId="0" borderId="2" xfId="0" applyFont="1" applyBorder="1" applyAlignment="1">
      <alignment horizontal="center" vertical="center" wrapText="1"/>
    </xf>
    <xf numFmtId="6" fontId="0" fillId="0" borderId="0" xfId="0" applyNumberFormat="1"/>
    <xf numFmtId="6" fontId="13" fillId="0" borderId="3" xfId="0" applyNumberFormat="1" applyFont="1" applyBorder="1" applyAlignment="1">
      <alignment horizontal="justify" vertical="center" wrapText="1"/>
    </xf>
    <xf numFmtId="6" fontId="13" fillId="0" borderId="0" xfId="0" applyNumberFormat="1" applyFont="1" applyAlignment="1">
      <alignment horizontal="justify" vertical="center" wrapText="1"/>
    </xf>
    <xf numFmtId="8" fontId="0" fillId="0" borderId="0" xfId="0" applyNumberFormat="1"/>
    <xf numFmtId="9" fontId="0" fillId="0" borderId="0" xfId="0" applyNumberFormat="1"/>
    <xf numFmtId="169" fontId="0" fillId="0" borderId="0" xfId="1" applyNumberFormat="1" applyFont="1"/>
    <xf numFmtId="0" fontId="3" fillId="0" borderId="0" xfId="0" applyFont="1" applyAlignment="1">
      <alignment vertical="top" wrapText="1"/>
    </xf>
  </cellXfs>
  <cellStyles count="2">
    <cellStyle name="Normal" xfId="0" builtinId="0"/>
    <cellStyle name="Porcentaje" xfId="1" builtinId="5"/>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E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5"/>
  <sheetViews>
    <sheetView showGridLines="0" zoomScaleNormal="100" workbookViewId="0">
      <selection activeCell="F10" sqref="F10"/>
    </sheetView>
  </sheetViews>
  <sheetFormatPr baseColWidth="10" defaultColWidth="8.6640625" defaultRowHeight="15" x14ac:dyDescent="0.2"/>
  <cols>
    <col min="1" max="1" width="2" customWidth="1"/>
    <col min="2" max="2" width="42" customWidth="1"/>
    <col min="3" max="3" width="20" customWidth="1"/>
    <col min="4" max="4" width="9" customWidth="1"/>
    <col min="5" max="5" width="46" customWidth="1"/>
    <col min="6" max="7" width="20" customWidth="1"/>
    <col min="8" max="8" width="18" customWidth="1"/>
  </cols>
  <sheetData>
    <row r="1" spans="2:8" ht="17" x14ac:dyDescent="0.2">
      <c r="B1" s="1" t="s">
        <v>0</v>
      </c>
      <c r="C1" s="2"/>
      <c r="D1" s="2"/>
      <c r="E1" s="2"/>
      <c r="F1" s="2"/>
      <c r="G1" s="2"/>
      <c r="H1" s="2"/>
    </row>
    <row r="2" spans="2:8" x14ac:dyDescent="0.2">
      <c r="B2" s="3" t="s">
        <v>1</v>
      </c>
      <c r="C2" s="2"/>
      <c r="D2" s="2"/>
      <c r="E2" s="2"/>
      <c r="F2" s="2"/>
      <c r="G2" s="2"/>
      <c r="H2" s="2"/>
    </row>
    <row r="3" spans="2:8" x14ac:dyDescent="0.2">
      <c r="B3" s="4" t="s">
        <v>2</v>
      </c>
    </row>
    <row r="5" spans="2:8" ht="30" customHeight="1" x14ac:dyDescent="0.2">
      <c r="B5" s="5" t="s">
        <v>3</v>
      </c>
      <c r="C5" s="5" t="s">
        <v>4</v>
      </c>
      <c r="D5" s="5" t="s">
        <v>5</v>
      </c>
      <c r="E5" s="5" t="s">
        <v>6</v>
      </c>
      <c r="F5" s="5" t="s">
        <v>7</v>
      </c>
      <c r="G5" s="5" t="s">
        <v>8</v>
      </c>
      <c r="H5" s="5" t="s">
        <v>9</v>
      </c>
    </row>
    <row r="6" spans="2:8" ht="30" customHeight="1" x14ac:dyDescent="0.2">
      <c r="B6" s="6" t="s">
        <v>10</v>
      </c>
      <c r="C6" s="7">
        <v>2206249920.6700001</v>
      </c>
      <c r="D6" s="8">
        <f t="shared" ref="D6:D12" si="0">C6/$C$12</f>
        <v>3.5865260264040008E-2</v>
      </c>
      <c r="E6" s="9" t="s">
        <v>11</v>
      </c>
      <c r="F6" s="10">
        <f>C6</f>
        <v>2206249920.6700001</v>
      </c>
      <c r="G6" s="10">
        <f>0</f>
        <v>0</v>
      </c>
      <c r="H6" s="11" t="s">
        <v>12</v>
      </c>
    </row>
    <row r="7" spans="2:8" ht="30" customHeight="1" x14ac:dyDescent="0.2">
      <c r="B7" s="6" t="s">
        <v>13</v>
      </c>
      <c r="C7" s="7">
        <v>211439472</v>
      </c>
      <c r="D7" s="8">
        <f t="shared" si="0"/>
        <v>3.4372042905584659E-3</v>
      </c>
      <c r="E7" s="9" t="s">
        <v>14</v>
      </c>
      <c r="F7" s="10">
        <f>C7</f>
        <v>211439472</v>
      </c>
      <c r="G7" s="10">
        <f>0</f>
        <v>0</v>
      </c>
      <c r="H7" s="11" t="s">
        <v>12</v>
      </c>
    </row>
    <row r="8" spans="2:8" ht="30" customHeight="1" x14ac:dyDescent="0.2">
      <c r="B8" s="6" t="s">
        <v>15</v>
      </c>
      <c r="C8" s="7">
        <v>97689747</v>
      </c>
      <c r="D8" s="8">
        <f t="shared" si="0"/>
        <v>1.5880649641991683E-3</v>
      </c>
      <c r="E8" s="9" t="s">
        <v>14</v>
      </c>
      <c r="F8" s="10">
        <f>C8</f>
        <v>97689747</v>
      </c>
      <c r="G8" s="10">
        <f>0</f>
        <v>0</v>
      </c>
      <c r="H8" s="11" t="s">
        <v>12</v>
      </c>
    </row>
    <row r="9" spans="2:8" ht="30" customHeight="1" x14ac:dyDescent="0.2">
      <c r="B9" s="6" t="s">
        <v>16</v>
      </c>
      <c r="C9" s="7">
        <v>9115274391.3999996</v>
      </c>
      <c r="D9" s="8">
        <f t="shared" si="0"/>
        <v>0.1481798074473899</v>
      </c>
      <c r="E9" s="9" t="s">
        <v>17</v>
      </c>
      <c r="F9" s="10">
        <f>0</f>
        <v>0</v>
      </c>
      <c r="G9" s="10">
        <f>C9</f>
        <v>9115274391.3999996</v>
      </c>
      <c r="H9" s="11" t="s">
        <v>18</v>
      </c>
    </row>
    <row r="10" spans="2:8" ht="30" customHeight="1" x14ac:dyDescent="0.2">
      <c r="B10" s="6" t="s">
        <v>19</v>
      </c>
      <c r="C10" s="7">
        <v>5231675604.25</v>
      </c>
      <c r="D10" s="8">
        <f t="shared" si="0"/>
        <v>8.5047213103796232E-2</v>
      </c>
      <c r="E10" s="9" t="s">
        <v>20</v>
      </c>
      <c r="F10" s="12">
        <f>C10*(1-PARAMETROS!$C$34)</f>
        <v>1569502681.2750003</v>
      </c>
      <c r="G10" s="12">
        <f>C10*PARAMETROS!$C$34</f>
        <v>3662172922.9749999</v>
      </c>
      <c r="H10" s="11" t="s">
        <v>21</v>
      </c>
    </row>
    <row r="11" spans="2:8" ht="30" customHeight="1" x14ac:dyDescent="0.2">
      <c r="B11" s="6" t="s">
        <v>22</v>
      </c>
      <c r="C11" s="7">
        <v>44652627243.849998</v>
      </c>
      <c r="D11" s="8">
        <f t="shared" si="0"/>
        <v>0.72588244993001627</v>
      </c>
      <c r="E11" s="9" t="s">
        <v>23</v>
      </c>
      <c r="F11" s="12">
        <f>C11-PARAMETROS!$C$41-PARAMETROS!$C$42-PARAMETROS!$C$43</f>
        <v>12645627243.849998</v>
      </c>
      <c r="G11" s="12">
        <f>PARAMETROS!$C$41+PARAMETROS!$C$42+PARAMETROS!$C$43</f>
        <v>32007000000</v>
      </c>
      <c r="H11" s="11" t="s">
        <v>24</v>
      </c>
    </row>
    <row r="12" spans="2:8" x14ac:dyDescent="0.2">
      <c r="B12" s="13" t="s">
        <v>25</v>
      </c>
      <c r="C12" s="14">
        <f>SUM(C6:C11)</f>
        <v>61514956379.169998</v>
      </c>
      <c r="D12" s="15">
        <f t="shared" si="0"/>
        <v>1</v>
      </c>
      <c r="E12" s="16"/>
      <c r="F12" s="14">
        <f>SUM(F6:F11)</f>
        <v>16730509064.794998</v>
      </c>
      <c r="G12" s="14">
        <f>SUM(G6:G11)</f>
        <v>44784447314.375</v>
      </c>
      <c r="H12" s="16"/>
    </row>
    <row r="14" spans="2:8" x14ac:dyDescent="0.2">
      <c r="B14" s="17" t="s">
        <v>26</v>
      </c>
    </row>
    <row r="15" spans="2:8" x14ac:dyDescent="0.2">
      <c r="B15" s="6" t="s">
        <v>27</v>
      </c>
      <c r="C15" s="12">
        <f>PARAMETROS!$C$21</f>
        <v>4000000000</v>
      </c>
      <c r="D15" s="18"/>
      <c r="E15" s="6" t="s">
        <v>28</v>
      </c>
      <c r="F15" s="18"/>
      <c r="G15" s="18"/>
      <c r="H15" s="18"/>
    </row>
    <row r="16" spans="2:8" x14ac:dyDescent="0.2">
      <c r="B16" s="6" t="s">
        <v>29</v>
      </c>
      <c r="C16" s="12">
        <f>PARAMETROS!$C$29</f>
        <v>300000000</v>
      </c>
      <c r="D16" s="18"/>
      <c r="E16" s="6" t="s">
        <v>30</v>
      </c>
      <c r="F16" s="18"/>
      <c r="G16" s="18"/>
      <c r="H16" s="18"/>
    </row>
    <row r="17" spans="2:8" x14ac:dyDescent="0.2">
      <c r="B17" s="13" t="s">
        <v>31</v>
      </c>
      <c r="C17" s="14">
        <f>SUM(C15:C16)</f>
        <v>4300000000</v>
      </c>
      <c r="D17" s="16"/>
      <c r="E17" s="16"/>
      <c r="F17" s="16"/>
      <c r="G17" s="16"/>
      <c r="H17" s="16"/>
    </row>
    <row r="19" spans="2:8" x14ac:dyDescent="0.2">
      <c r="B19" s="17" t="s">
        <v>32</v>
      </c>
    </row>
    <row r="20" spans="2:8" x14ac:dyDescent="0.2">
      <c r="B20" s="4" t="s">
        <v>33</v>
      </c>
    </row>
    <row r="21" spans="2:8" x14ac:dyDescent="0.2">
      <c r="B21" s="4" t="s">
        <v>34</v>
      </c>
    </row>
    <row r="22" spans="2:8" x14ac:dyDescent="0.2">
      <c r="B22" s="4" t="s">
        <v>35</v>
      </c>
    </row>
    <row r="23" spans="2:8" x14ac:dyDescent="0.2">
      <c r="B23" s="4" t="s">
        <v>36</v>
      </c>
    </row>
    <row r="24" spans="2:8" x14ac:dyDescent="0.2">
      <c r="B24" s="4" t="s">
        <v>37</v>
      </c>
    </row>
    <row r="25" spans="2:8" x14ac:dyDescent="0.2">
      <c r="B25" s="4" t="s">
        <v>38</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55"/>
  <sheetViews>
    <sheetView showGridLines="0" zoomScaleNormal="100" workbookViewId="0"/>
  </sheetViews>
  <sheetFormatPr baseColWidth="10" defaultColWidth="8.6640625" defaultRowHeight="15" x14ac:dyDescent="0.2"/>
  <cols>
    <col min="1" max="1" width="2" customWidth="1"/>
    <col min="2" max="2" width="58" customWidth="1"/>
    <col min="3" max="3" width="22" customWidth="1"/>
    <col min="4" max="4" width="3" customWidth="1"/>
    <col min="5" max="5" width="78" customWidth="1"/>
  </cols>
  <sheetData>
    <row r="1" spans="2:6" ht="17" x14ac:dyDescent="0.2">
      <c r="B1" s="1" t="s">
        <v>39</v>
      </c>
      <c r="C1" s="2"/>
      <c r="D1" s="2"/>
      <c r="E1" s="2"/>
      <c r="F1" s="2"/>
    </row>
    <row r="2" spans="2:6" x14ac:dyDescent="0.2">
      <c r="B2" s="4" t="s">
        <v>40</v>
      </c>
    </row>
    <row r="4" spans="2:6" x14ac:dyDescent="0.2">
      <c r="B4" s="19" t="s">
        <v>41</v>
      </c>
      <c r="C4" s="20"/>
      <c r="D4" s="20"/>
      <c r="E4" s="20"/>
      <c r="F4" s="20"/>
    </row>
    <row r="5" spans="2:6" x14ac:dyDescent="0.2">
      <c r="B5" s="21" t="s">
        <v>42</v>
      </c>
      <c r="C5" s="22">
        <v>12987117</v>
      </c>
      <c r="E5" s="4" t="s">
        <v>43</v>
      </c>
    </row>
    <row r="6" spans="2:6" x14ac:dyDescent="0.2">
      <c r="B6" s="21" t="s">
        <v>44</v>
      </c>
      <c r="C6" s="23">
        <v>745857336</v>
      </c>
      <c r="E6" s="4" t="s">
        <v>45</v>
      </c>
    </row>
    <row r="7" spans="2:6" x14ac:dyDescent="0.2">
      <c r="B7" s="21" t="s">
        <v>46</v>
      </c>
      <c r="C7" s="22">
        <v>0</v>
      </c>
      <c r="E7" s="4" t="s">
        <v>47</v>
      </c>
    </row>
    <row r="8" spans="2:6" x14ac:dyDescent="0.2">
      <c r="B8" s="21" t="s">
        <v>48</v>
      </c>
      <c r="C8" s="23">
        <v>0</v>
      </c>
      <c r="E8" s="4" t="s">
        <v>49</v>
      </c>
    </row>
    <row r="9" spans="2:6" x14ac:dyDescent="0.2">
      <c r="B9" s="21" t="s">
        <v>50</v>
      </c>
      <c r="C9" s="24">
        <v>2031</v>
      </c>
      <c r="E9" s="4" t="s">
        <v>51</v>
      </c>
    </row>
    <row r="10" spans="2:6" x14ac:dyDescent="0.2">
      <c r="B10" s="21" t="s">
        <v>52</v>
      </c>
      <c r="C10" s="23">
        <v>372940360</v>
      </c>
      <c r="E10" s="4" t="s">
        <v>53</v>
      </c>
    </row>
    <row r="11" spans="2:6" x14ac:dyDescent="0.2">
      <c r="B11" s="21" t="s">
        <v>54</v>
      </c>
      <c r="C11" s="22">
        <v>0</v>
      </c>
      <c r="E11" s="4" t="s">
        <v>55</v>
      </c>
    </row>
    <row r="12" spans="2:6" x14ac:dyDescent="0.2">
      <c r="B12" s="21" t="s">
        <v>56</v>
      </c>
      <c r="C12" s="25">
        <v>0.04</v>
      </c>
      <c r="E12" s="4" t="s">
        <v>57</v>
      </c>
    </row>
    <row r="13" spans="2:6" x14ac:dyDescent="0.2">
      <c r="B13" s="21" t="s">
        <v>58</v>
      </c>
      <c r="C13" s="22">
        <v>0</v>
      </c>
      <c r="E13" s="4" t="s">
        <v>59</v>
      </c>
    </row>
    <row r="15" spans="2:6" x14ac:dyDescent="0.2">
      <c r="B15" s="19" t="s">
        <v>60</v>
      </c>
      <c r="C15" s="20"/>
      <c r="D15" s="20"/>
      <c r="E15" s="20"/>
      <c r="F15" s="20"/>
    </row>
    <row r="16" spans="2:6" x14ac:dyDescent="0.2">
      <c r="B16" s="21" t="s">
        <v>61</v>
      </c>
      <c r="C16" s="23">
        <v>6482000000</v>
      </c>
      <c r="E16" s="4" t="s">
        <v>62</v>
      </c>
    </row>
    <row r="17" spans="2:6" x14ac:dyDescent="0.2">
      <c r="B17" s="21" t="s">
        <v>63</v>
      </c>
      <c r="C17" s="24">
        <v>2026</v>
      </c>
      <c r="E17" s="4" t="s">
        <v>64</v>
      </c>
    </row>
    <row r="18" spans="2:6" x14ac:dyDescent="0.2">
      <c r="B18" s="21" t="s">
        <v>65</v>
      </c>
      <c r="C18" s="24">
        <v>2026</v>
      </c>
      <c r="E18" s="4" t="s">
        <v>66</v>
      </c>
    </row>
    <row r="20" spans="2:6" x14ac:dyDescent="0.2">
      <c r="B20" s="19" t="s">
        <v>67</v>
      </c>
      <c r="C20" s="20"/>
      <c r="D20" s="20"/>
      <c r="E20" s="20"/>
      <c r="F20" s="20"/>
    </row>
    <row r="21" spans="2:6" x14ac:dyDescent="0.2">
      <c r="B21" s="21" t="s">
        <v>68</v>
      </c>
      <c r="C21" s="23">
        <v>4000000000</v>
      </c>
      <c r="E21" s="4" t="s">
        <v>69</v>
      </c>
    </row>
    <row r="22" spans="2:6" x14ac:dyDescent="0.2">
      <c r="B22" s="21" t="s">
        <v>70</v>
      </c>
      <c r="C22" s="23">
        <v>1500000000</v>
      </c>
      <c r="E22" s="4" t="s">
        <v>71</v>
      </c>
    </row>
    <row r="23" spans="2:6" x14ac:dyDescent="0.2">
      <c r="B23" s="21" t="s">
        <v>72</v>
      </c>
      <c r="C23" s="24">
        <v>2026</v>
      </c>
      <c r="E23" s="4"/>
    </row>
    <row r="24" spans="2:6" x14ac:dyDescent="0.2">
      <c r="B24" s="21" t="s">
        <v>73</v>
      </c>
      <c r="C24" s="26">
        <f>C21-C22</f>
        <v>2500000000</v>
      </c>
      <c r="E24" s="4" t="s">
        <v>74</v>
      </c>
    </row>
    <row r="25" spans="2:6" x14ac:dyDescent="0.2">
      <c r="B25" s="21" t="s">
        <v>75</v>
      </c>
      <c r="C25" s="25">
        <v>0.28999999999999998</v>
      </c>
      <c r="E25" s="4" t="s">
        <v>76</v>
      </c>
    </row>
    <row r="26" spans="2:6" x14ac:dyDescent="0.2">
      <c r="B26" s="21" t="s">
        <v>77</v>
      </c>
      <c r="C26" s="27">
        <v>2027</v>
      </c>
      <c r="E26" s="4" t="s">
        <v>78</v>
      </c>
    </row>
    <row r="27" spans="2:6" x14ac:dyDescent="0.2">
      <c r="B27" s="21" t="s">
        <v>79</v>
      </c>
      <c r="C27" s="28">
        <f>C26-C23</f>
        <v>1</v>
      </c>
      <c r="E27" s="4"/>
    </row>
    <row r="28" spans="2:6" x14ac:dyDescent="0.2">
      <c r="B28" s="21" t="s">
        <v>80</v>
      </c>
      <c r="C28" s="26">
        <f>C24*(1+C25)^C27</f>
        <v>3225000000</v>
      </c>
      <c r="E28" s="4" t="s">
        <v>81</v>
      </c>
    </row>
    <row r="29" spans="2:6" x14ac:dyDescent="0.2">
      <c r="B29" s="21" t="s">
        <v>82</v>
      </c>
      <c r="C29" s="23">
        <v>300000000</v>
      </c>
      <c r="E29" s="4" t="s">
        <v>83</v>
      </c>
    </row>
    <row r="30" spans="2:6" x14ac:dyDescent="0.2">
      <c r="B30" s="21" t="s">
        <v>84</v>
      </c>
      <c r="C30" s="24">
        <v>2026</v>
      </c>
      <c r="E30" s="4"/>
    </row>
    <row r="32" spans="2:6" x14ac:dyDescent="0.2">
      <c r="B32" s="19" t="s">
        <v>85</v>
      </c>
      <c r="C32" s="20"/>
      <c r="D32" s="20"/>
      <c r="E32" s="20"/>
      <c r="F32" s="20"/>
    </row>
    <row r="33" spans="2:6" x14ac:dyDescent="0.2">
      <c r="B33" s="21" t="s">
        <v>86</v>
      </c>
      <c r="C33" s="24">
        <v>2026</v>
      </c>
      <c r="E33" s="4" t="s">
        <v>71</v>
      </c>
    </row>
    <row r="34" spans="2:6" x14ac:dyDescent="0.2">
      <c r="B34" s="21" t="s">
        <v>87</v>
      </c>
      <c r="C34" s="25">
        <v>0.7</v>
      </c>
      <c r="E34" s="4" t="s">
        <v>88</v>
      </c>
    </row>
    <row r="35" spans="2:6" x14ac:dyDescent="0.2">
      <c r="B35" s="21" t="s">
        <v>89</v>
      </c>
      <c r="C35" s="29">
        <v>0.5</v>
      </c>
      <c r="E35" s="4"/>
    </row>
    <row r="36" spans="2:6" x14ac:dyDescent="0.2">
      <c r="B36" s="21" t="s">
        <v>90</v>
      </c>
      <c r="C36" s="24">
        <v>2028</v>
      </c>
      <c r="E36" s="4"/>
    </row>
    <row r="37" spans="2:6" x14ac:dyDescent="0.2">
      <c r="B37" s="21" t="s">
        <v>91</v>
      </c>
      <c r="C37" s="29">
        <v>0.5</v>
      </c>
      <c r="E37" s="4"/>
    </row>
    <row r="38" spans="2:6" x14ac:dyDescent="0.2">
      <c r="B38" s="21" t="s">
        <v>92</v>
      </c>
      <c r="C38" s="24">
        <v>2030</v>
      </c>
      <c r="E38" s="4"/>
    </row>
    <row r="40" spans="2:6" x14ac:dyDescent="0.2">
      <c r="B40" s="19" t="s">
        <v>93</v>
      </c>
      <c r="C40" s="20"/>
      <c r="D40" s="20"/>
      <c r="E40" s="20"/>
      <c r="F40" s="20"/>
    </row>
    <row r="41" spans="2:6" x14ac:dyDescent="0.2">
      <c r="B41" s="21" t="s">
        <v>94</v>
      </c>
      <c r="C41" s="23">
        <v>4000000000</v>
      </c>
      <c r="E41" s="4" t="s">
        <v>95</v>
      </c>
    </row>
    <row r="42" spans="2:6" x14ac:dyDescent="0.2">
      <c r="B42" s="21" t="s">
        <v>96</v>
      </c>
      <c r="C42" s="23">
        <v>23007000000</v>
      </c>
      <c r="E42" s="4" t="s">
        <v>95</v>
      </c>
    </row>
    <row r="43" spans="2:6" x14ac:dyDescent="0.2">
      <c r="B43" s="21" t="s">
        <v>97</v>
      </c>
      <c r="C43" s="23">
        <v>5000000000</v>
      </c>
      <c r="E43" s="4" t="s">
        <v>98</v>
      </c>
    </row>
    <row r="44" spans="2:6" x14ac:dyDescent="0.2">
      <c r="B44" s="21" t="s">
        <v>99</v>
      </c>
      <c r="C44" s="30">
        <f>CALIFICACION!C11-C41-C42-C43</f>
        <v>12645627243.849998</v>
      </c>
      <c r="E44" s="4" t="s">
        <v>100</v>
      </c>
    </row>
    <row r="45" spans="2:6" x14ac:dyDescent="0.2">
      <c r="B45" s="21" t="s">
        <v>101</v>
      </c>
      <c r="C45" s="24">
        <v>2031</v>
      </c>
      <c r="E45" s="4"/>
    </row>
    <row r="46" spans="2:6" x14ac:dyDescent="0.2">
      <c r="B46" s="21" t="s">
        <v>102</v>
      </c>
      <c r="C46" s="27">
        <v>10</v>
      </c>
      <c r="E46" s="4"/>
    </row>
    <row r="47" spans="2:6" x14ac:dyDescent="0.2">
      <c r="B47" s="21" t="s">
        <v>103</v>
      </c>
      <c r="C47" s="26">
        <f>C44/C46</f>
        <v>1264562724.3849998</v>
      </c>
      <c r="E47" s="4" t="s">
        <v>104</v>
      </c>
    </row>
    <row r="48" spans="2:6" x14ac:dyDescent="0.2">
      <c r="B48" s="21" t="s">
        <v>105</v>
      </c>
      <c r="C48" s="29">
        <v>0</v>
      </c>
      <c r="E48" s="4" t="s">
        <v>106</v>
      </c>
    </row>
    <row r="50" spans="2:6" x14ac:dyDescent="0.2">
      <c r="B50" s="19" t="s">
        <v>107</v>
      </c>
      <c r="C50" s="20"/>
      <c r="D50" s="20"/>
      <c r="E50" s="20"/>
      <c r="F50" s="20"/>
    </row>
    <row r="51" spans="2:6" x14ac:dyDescent="0.2">
      <c r="B51" s="21" t="s">
        <v>108</v>
      </c>
      <c r="C51" s="30">
        <f>CALIFICACION!C9</f>
        <v>9115274391.3999996</v>
      </c>
      <c r="E51" s="4" t="s">
        <v>109</v>
      </c>
    </row>
    <row r="52" spans="2:6" x14ac:dyDescent="0.2">
      <c r="B52" s="21" t="s">
        <v>110</v>
      </c>
      <c r="C52" s="26">
        <f>C51+C41+C42+CALIFICACION!C10*C34</f>
        <v>39784447314.375</v>
      </c>
      <c r="E52" s="4" t="s">
        <v>111</v>
      </c>
    </row>
    <row r="53" spans="2:6" x14ac:dyDescent="0.2">
      <c r="B53" s="21" t="s">
        <v>112</v>
      </c>
      <c r="C53" s="26">
        <f>C43</f>
        <v>5000000000</v>
      </c>
      <c r="E53" s="4" t="s">
        <v>113</v>
      </c>
    </row>
    <row r="54" spans="2:6" x14ac:dyDescent="0.2">
      <c r="B54" s="21" t="s">
        <v>114</v>
      </c>
      <c r="C54" s="30">
        <f>CALIFICACION!C12</f>
        <v>61514956379.169998</v>
      </c>
      <c r="E54" s="4"/>
    </row>
    <row r="55" spans="2:6" x14ac:dyDescent="0.2">
      <c r="B55" s="21" t="s">
        <v>115</v>
      </c>
      <c r="C55" s="8">
        <f>(C52+C53)/C54</f>
        <v>0.72802534457359658</v>
      </c>
      <c r="E55" s="4"/>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R72"/>
  <sheetViews>
    <sheetView showGridLines="0" tabSelected="1" zoomScale="131" zoomScaleNormal="100" workbookViewId="0">
      <pane xSplit="2" ySplit="8" topLeftCell="C30" activePane="bottomRight" state="frozen"/>
      <selection pane="topRight" activeCell="C1" sqref="C1"/>
      <selection pane="bottomLeft" activeCell="A9" sqref="A9"/>
      <selection pane="bottomRight" activeCell="M45" sqref="M45"/>
    </sheetView>
  </sheetViews>
  <sheetFormatPr baseColWidth="10" defaultColWidth="8.6640625" defaultRowHeight="15" x14ac:dyDescent="0.2"/>
  <cols>
    <col min="1" max="1" width="2" customWidth="1"/>
    <col min="2" max="2" width="56" customWidth="1"/>
    <col min="3" max="18" width="17" customWidth="1"/>
  </cols>
  <sheetData>
    <row r="1" spans="2:18" ht="17" x14ac:dyDescent="0.2">
      <c r="B1" s="1" t="s">
        <v>116</v>
      </c>
      <c r="C1" s="2"/>
      <c r="D1" s="2"/>
      <c r="E1" s="2"/>
      <c r="F1" s="2"/>
      <c r="G1" s="2"/>
      <c r="H1" s="2"/>
      <c r="I1" s="2"/>
      <c r="J1" s="2"/>
      <c r="K1" s="2"/>
      <c r="L1" s="2"/>
      <c r="M1" s="2"/>
      <c r="N1" s="2"/>
      <c r="O1" s="2"/>
      <c r="P1" s="2"/>
      <c r="Q1" s="2"/>
      <c r="R1" s="2"/>
    </row>
    <row r="2" spans="2:18" x14ac:dyDescent="0.2">
      <c r="B2" s="3" t="s">
        <v>117</v>
      </c>
      <c r="C2" s="2"/>
      <c r="D2" s="2"/>
      <c r="E2" s="2"/>
      <c r="F2" s="2"/>
      <c r="G2" s="2"/>
      <c r="H2" s="2"/>
      <c r="I2" s="2"/>
      <c r="J2" s="2"/>
      <c r="K2" s="2"/>
      <c r="L2" s="2"/>
      <c r="M2" s="2"/>
      <c r="N2" s="2"/>
      <c r="O2" s="2"/>
      <c r="P2" s="2"/>
      <c r="Q2" s="2"/>
      <c r="R2" s="2"/>
    </row>
    <row r="5" spans="2:18" x14ac:dyDescent="0.2">
      <c r="B5" s="31" t="s">
        <v>118</v>
      </c>
      <c r="C5" s="32" t="s">
        <v>12</v>
      </c>
      <c r="D5" s="32" t="s">
        <v>119</v>
      </c>
      <c r="E5" s="32" t="s">
        <v>120</v>
      </c>
      <c r="F5" s="32" t="s">
        <v>121</v>
      </c>
      <c r="G5" s="32" t="s">
        <v>122</v>
      </c>
      <c r="H5" s="32" t="s">
        <v>123</v>
      </c>
      <c r="I5" s="32" t="s">
        <v>124</v>
      </c>
      <c r="J5" s="32" t="s">
        <v>125</v>
      </c>
      <c r="K5" s="32" t="s">
        <v>126</v>
      </c>
      <c r="L5" s="32" t="s">
        <v>127</v>
      </c>
      <c r="M5" s="32" t="s">
        <v>128</v>
      </c>
      <c r="N5" s="32" t="s">
        <v>129</v>
      </c>
      <c r="O5" s="32" t="s">
        <v>130</v>
      </c>
      <c r="P5" s="32" t="s">
        <v>131</v>
      </c>
      <c r="Q5" s="32" t="s">
        <v>132</v>
      </c>
      <c r="R5" s="32" t="s">
        <v>133</v>
      </c>
    </row>
    <row r="6" spans="2:18" x14ac:dyDescent="0.2">
      <c r="B6" s="4" t="s">
        <v>134</v>
      </c>
      <c r="C6" s="33">
        <v>2026</v>
      </c>
      <c r="D6" s="33">
        <v>2027</v>
      </c>
      <c r="E6" s="33">
        <v>2028</v>
      </c>
      <c r="F6" s="33">
        <v>2029</v>
      </c>
      <c r="G6" s="33">
        <v>2030</v>
      </c>
      <c r="H6" s="33">
        <v>2031</v>
      </c>
      <c r="I6" s="33">
        <v>2032</v>
      </c>
      <c r="J6" s="33">
        <v>2033</v>
      </c>
      <c r="K6" s="33">
        <v>2034</v>
      </c>
      <c r="L6" s="33">
        <v>2035</v>
      </c>
      <c r="M6" s="33">
        <v>2036</v>
      </c>
      <c r="N6" s="33">
        <v>2037</v>
      </c>
      <c r="O6" s="33">
        <v>2038</v>
      </c>
      <c r="P6" s="33">
        <v>2039</v>
      </c>
      <c r="Q6" s="33">
        <v>2040</v>
      </c>
    </row>
    <row r="7" spans="2:18" x14ac:dyDescent="0.2">
      <c r="B7" s="4" t="s">
        <v>135</v>
      </c>
      <c r="C7" s="34">
        <v>0.5</v>
      </c>
      <c r="D7" s="34">
        <v>1</v>
      </c>
      <c r="E7" s="34">
        <v>1</v>
      </c>
      <c r="F7" s="34">
        <v>1</v>
      </c>
      <c r="G7" s="34">
        <v>1</v>
      </c>
      <c r="H7" s="34">
        <v>1</v>
      </c>
      <c r="I7" s="34">
        <v>1</v>
      </c>
      <c r="J7" s="34">
        <v>1</v>
      </c>
      <c r="K7" s="34">
        <v>1</v>
      </c>
      <c r="L7" s="34">
        <v>1</v>
      </c>
      <c r="M7" s="34">
        <v>1</v>
      </c>
      <c r="N7" s="34">
        <v>1</v>
      </c>
      <c r="O7" s="34">
        <v>1</v>
      </c>
      <c r="P7" s="34">
        <v>1</v>
      </c>
      <c r="Q7" s="34">
        <v>1</v>
      </c>
    </row>
    <row r="8" spans="2:18" x14ac:dyDescent="0.2">
      <c r="B8" s="4" t="s">
        <v>136</v>
      </c>
      <c r="C8" s="35">
        <f>(1+PARAMETROS!$C$12)^(C$6-2025)</f>
        <v>1.04</v>
      </c>
      <c r="D8" s="35">
        <f>(1+PARAMETROS!$C$12)^(D$6-2025)</f>
        <v>1.0816000000000001</v>
      </c>
      <c r="E8" s="35">
        <f>(1+PARAMETROS!$C$12)^(E$6-2025)</f>
        <v>1.1248640000000001</v>
      </c>
      <c r="F8" s="35">
        <f>(1+PARAMETROS!$C$12)^(F$6-2025)</f>
        <v>1.1698585600000002</v>
      </c>
      <c r="G8" s="35">
        <f>(1+PARAMETROS!$C$12)^(G$6-2025)</f>
        <v>1.2166529024000003</v>
      </c>
      <c r="H8" s="35">
        <f>(1+PARAMETROS!$C$12)^(H$6-2025)</f>
        <v>1.2653190184960004</v>
      </c>
      <c r="I8" s="35">
        <f>(1+PARAMETROS!$C$12)^(I$6-2025)</f>
        <v>1.3159317792358403</v>
      </c>
      <c r="J8" s="35">
        <f>(1+PARAMETROS!$C$12)^(J$6-2025)</f>
        <v>1.3685690504052741</v>
      </c>
      <c r="K8" s="35">
        <f>(1+PARAMETROS!$C$12)^(K$6-2025)</f>
        <v>1.4233118124214852</v>
      </c>
      <c r="L8" s="35">
        <f>(1+PARAMETROS!$C$12)^(L$6-2025)</f>
        <v>1.4802442849183446</v>
      </c>
      <c r="M8" s="35">
        <f>(1+PARAMETROS!$C$12)^(M$6-2025)</f>
        <v>1.5394540563150783</v>
      </c>
      <c r="N8" s="35">
        <f>(1+PARAMETROS!$C$12)^(N$6-2025)</f>
        <v>1.6010322185676817</v>
      </c>
      <c r="O8" s="35">
        <f>(1+PARAMETROS!$C$12)^(O$6-2025)</f>
        <v>1.6650735073103891</v>
      </c>
      <c r="P8" s="35">
        <f>(1+PARAMETROS!$C$12)^(P$6-2025)</f>
        <v>1.7316764476028046</v>
      </c>
      <c r="Q8" s="35">
        <f>(1+PARAMETROS!$C$12)^(Q$6-2025)</f>
        <v>1.8009435055069167</v>
      </c>
    </row>
    <row r="10" spans="2:18" x14ac:dyDescent="0.2">
      <c r="B10" s="13" t="s">
        <v>137</v>
      </c>
      <c r="C10" s="36">
        <f>PARAMETROS!$C$5</f>
        <v>12987117</v>
      </c>
      <c r="D10" s="37">
        <f t="shared" ref="D10:Q10" si="0">C45</f>
        <v>2373524804.8500004</v>
      </c>
      <c r="E10" s="37">
        <f t="shared" si="0"/>
        <v>0</v>
      </c>
      <c r="F10" s="37">
        <f t="shared" si="0"/>
        <v>0</v>
      </c>
      <c r="G10" s="37">
        <f t="shared" si="0"/>
        <v>436260116.54291469</v>
      </c>
      <c r="H10" s="37">
        <f t="shared" si="0"/>
        <v>105219297.11004585</v>
      </c>
      <c r="I10" s="37">
        <f t="shared" si="0"/>
        <v>577078239.1628623</v>
      </c>
      <c r="J10" s="37">
        <f t="shared" si="0"/>
        <v>1067811538.8977914</v>
      </c>
      <c r="K10" s="37">
        <f t="shared" si="0"/>
        <v>1578174170.6221178</v>
      </c>
      <c r="L10" s="37">
        <f t="shared" si="0"/>
        <v>302433130.61541724</v>
      </c>
      <c r="M10" s="37">
        <f t="shared" si="0"/>
        <v>0</v>
      </c>
      <c r="N10" s="37">
        <f t="shared" si="0"/>
        <v>0</v>
      </c>
      <c r="O10" s="37">
        <f t="shared" si="0"/>
        <v>0</v>
      </c>
      <c r="P10" s="37">
        <f t="shared" si="0"/>
        <v>0</v>
      </c>
      <c r="Q10" s="37">
        <f t="shared" si="0"/>
        <v>0</v>
      </c>
      <c r="R10" s="16"/>
    </row>
    <row r="12" spans="2:18" x14ac:dyDescent="0.2">
      <c r="B12" s="19" t="s">
        <v>138</v>
      </c>
      <c r="C12" s="20"/>
      <c r="D12" s="20"/>
      <c r="E12" s="20"/>
      <c r="F12" s="20"/>
      <c r="G12" s="20"/>
      <c r="H12" s="20"/>
      <c r="I12" s="20"/>
      <c r="J12" s="20"/>
      <c r="K12" s="20"/>
      <c r="L12" s="20"/>
      <c r="M12" s="20"/>
      <c r="N12" s="20"/>
      <c r="O12" s="20"/>
      <c r="P12" s="20"/>
      <c r="Q12" s="20"/>
      <c r="R12" s="20"/>
    </row>
    <row r="13" spans="2:18" x14ac:dyDescent="0.2">
      <c r="B13" s="38" t="s">
        <v>139</v>
      </c>
      <c r="C13" s="39">
        <f>PARAMETROS!$C$6*C$8*C$7</f>
        <v>387845814.72000003</v>
      </c>
      <c r="D13" s="39">
        <f>PARAMETROS!$C$6*D$8*D$7</f>
        <v>806719294.61760008</v>
      </c>
      <c r="E13" s="39">
        <f>PARAMETROS!$C$6*E$8*E$7</f>
        <v>838988066.40230405</v>
      </c>
      <c r="F13" s="39">
        <f>PARAMETROS!$C$6*F$8*F$7</f>
        <v>872547589.05839634</v>
      </c>
      <c r="G13" s="39">
        <f>PARAMETROS!$C$6*G$8*G$7</f>
        <v>907449492.62073231</v>
      </c>
      <c r="H13" s="39">
        <f>PARAMETROS!$C$6*H$8*H$7</f>
        <v>943747472.32556152</v>
      </c>
      <c r="I13" s="39">
        <f>PARAMETROS!$C$6*I$8*I$7</f>
        <v>981497371.21858394</v>
      </c>
      <c r="J13" s="39">
        <f>PARAMETROS!$C$6*J$8*J$7</f>
        <v>1020757266.0673275</v>
      </c>
      <c r="K13" s="39">
        <f>PARAMETROS!$C$6*K$8*K$7</f>
        <v>1061587556.7100207</v>
      </c>
      <c r="L13" s="39">
        <f>PARAMETROS!$C$6*L$8*L$7</f>
        <v>1104051058.9784214</v>
      </c>
      <c r="M13" s="39">
        <f>PARAMETROS!$C$6*M$8*M$7</f>
        <v>1148213101.3375583</v>
      </c>
      <c r="N13" s="39">
        <f>PARAMETROS!$C$6*N$8*N$7</f>
        <v>1194141625.3910608</v>
      </c>
      <c r="O13" s="39">
        <f>PARAMETROS!$C$6*O$8*O$7</f>
        <v>1241907290.4067032</v>
      </c>
      <c r="P13" s="39">
        <f>PARAMETROS!$C$6*P$8*P$7</f>
        <v>1291583582.0229714</v>
      </c>
      <c r="Q13" s="39">
        <f>PARAMETROS!$C$6*Q$8*Q$7</f>
        <v>1343246925.3038902</v>
      </c>
      <c r="R13" s="40">
        <f>SUM(C13:Q13)</f>
        <v>15144283507.181133</v>
      </c>
    </row>
    <row r="14" spans="2:18" x14ac:dyDescent="0.2">
      <c r="B14" s="38" t="s">
        <v>140</v>
      </c>
      <c r="C14" s="39">
        <f>PARAMETROS!$C$7*C$8*C$7</f>
        <v>0</v>
      </c>
      <c r="D14" s="39">
        <f>PARAMETROS!$C$7*D$8*D$7</f>
        <v>0</v>
      </c>
      <c r="E14" s="39">
        <f>PARAMETROS!$C$7*E$8*E$7</f>
        <v>0</v>
      </c>
      <c r="F14" s="39">
        <f>PARAMETROS!$C$7*F$8*F$7</f>
        <v>0</v>
      </c>
      <c r="G14" s="39">
        <f>PARAMETROS!$C$7*G$8*G$7</f>
        <v>0</v>
      </c>
      <c r="H14" s="39">
        <f>PARAMETROS!$C$7*H$8*H$7</f>
        <v>0</v>
      </c>
      <c r="I14" s="39">
        <f>PARAMETROS!$C$7*I$8*I$7</f>
        <v>0</v>
      </c>
      <c r="J14" s="39">
        <f>PARAMETROS!$C$7*J$8*J$7</f>
        <v>0</v>
      </c>
      <c r="K14" s="39">
        <f>PARAMETROS!$C$7*K$8*K$7</f>
        <v>0</v>
      </c>
      <c r="L14" s="39">
        <f>PARAMETROS!$C$7*L$8*L$7</f>
        <v>0</v>
      </c>
      <c r="M14" s="39">
        <f>PARAMETROS!$C$7*M$8*M$7</f>
        <v>0</v>
      </c>
      <c r="N14" s="39">
        <f>PARAMETROS!$C$7*N$8*N$7</f>
        <v>0</v>
      </c>
      <c r="O14" s="39">
        <f>PARAMETROS!$C$7*O$8*O$7</f>
        <v>0</v>
      </c>
      <c r="P14" s="39">
        <f>PARAMETROS!$C$7*P$8*P$7</f>
        <v>0</v>
      </c>
      <c r="Q14" s="39">
        <f>PARAMETROS!$C$7*Q$8*Q$7</f>
        <v>0</v>
      </c>
      <c r="R14" s="40">
        <f>SUM(C14:Q14)</f>
        <v>0</v>
      </c>
    </row>
    <row r="15" spans="2:18" x14ac:dyDescent="0.2">
      <c r="B15" s="38" t="s">
        <v>141</v>
      </c>
      <c r="C15" s="39">
        <f>IF(C$6&gt;=PARAMETROS!$C$9,PARAMETROS!$C$8*C$8*C$7,0)</f>
        <v>0</v>
      </c>
      <c r="D15" s="39">
        <f>IF(D$6&gt;=PARAMETROS!$C$9,PARAMETROS!$C$8*D$8*D$7,0)</f>
        <v>0</v>
      </c>
      <c r="E15" s="39">
        <f>IF(E$6&gt;=PARAMETROS!$C$9,PARAMETROS!$C$8*E$8*E$7,0)</f>
        <v>0</v>
      </c>
      <c r="F15" s="39">
        <f>IF(F$6&gt;=PARAMETROS!$C$9,PARAMETROS!$C$8*F$8*F$7,0)</f>
        <v>0</v>
      </c>
      <c r="G15" s="39">
        <f>IF(G$6&gt;=PARAMETROS!$C$9,PARAMETROS!$C$8*G$8*G$7,0)</f>
        <v>0</v>
      </c>
      <c r="H15" s="39">
        <f>IF(H$6&gt;=PARAMETROS!$C$9,PARAMETROS!$C$8*H$8*H$7,0)</f>
        <v>0</v>
      </c>
      <c r="I15" s="39">
        <f>IF(I$6&gt;=PARAMETROS!$C$9,PARAMETROS!$C$8*I$8*I$7,0)</f>
        <v>0</v>
      </c>
      <c r="J15" s="39">
        <f>IF(J$6&gt;=PARAMETROS!$C$9,PARAMETROS!$C$8*J$8*J$7,0)</f>
        <v>0</v>
      </c>
      <c r="K15" s="39">
        <f>IF(K$6&gt;=PARAMETROS!$C$9,PARAMETROS!$C$8*K$8*K$7,0)</f>
        <v>0</v>
      </c>
      <c r="L15" s="39">
        <f>IF(L$6&gt;=PARAMETROS!$C$9,PARAMETROS!$C$8*L$8*L$7,0)</f>
        <v>0</v>
      </c>
      <c r="M15" s="39">
        <f>IF(M$6&gt;=PARAMETROS!$C$9,PARAMETROS!$C$8*M$8*M$7,0)</f>
        <v>0</v>
      </c>
      <c r="N15" s="39">
        <f>IF(N$6&gt;=PARAMETROS!$C$9,PARAMETROS!$C$8*N$8*N$7,0)</f>
        <v>0</v>
      </c>
      <c r="O15" s="39">
        <f>IF(O$6&gt;=PARAMETROS!$C$9,PARAMETROS!$C$8*O$8*O$7,0)</f>
        <v>0</v>
      </c>
      <c r="P15" s="39">
        <f>IF(P$6&gt;=PARAMETROS!$C$9,PARAMETROS!$C$8*P$8*P$7,0)</f>
        <v>0</v>
      </c>
      <c r="Q15" s="39">
        <f>IF(Q$6&gt;=PARAMETROS!$C$9,PARAMETROS!$C$8*Q$8*Q$7,0)</f>
        <v>0</v>
      </c>
      <c r="R15" s="40">
        <f>SUM(C15:Q15)</f>
        <v>0</v>
      </c>
    </row>
    <row r="16" spans="2:18" x14ac:dyDescent="0.2">
      <c r="B16" s="41" t="s">
        <v>142</v>
      </c>
      <c r="C16" s="37">
        <f t="shared" ref="C16:Q16" si="1">SUM(C13:C15)</f>
        <v>387845814.72000003</v>
      </c>
      <c r="D16" s="37">
        <f t="shared" si="1"/>
        <v>806719294.61760008</v>
      </c>
      <c r="E16" s="37">
        <f t="shared" si="1"/>
        <v>838988066.40230405</v>
      </c>
      <c r="F16" s="37">
        <f t="shared" si="1"/>
        <v>872547589.05839634</v>
      </c>
      <c r="G16" s="37">
        <f t="shared" si="1"/>
        <v>907449492.62073231</v>
      </c>
      <c r="H16" s="37">
        <f t="shared" si="1"/>
        <v>943747472.32556152</v>
      </c>
      <c r="I16" s="37">
        <f t="shared" si="1"/>
        <v>981497371.21858394</v>
      </c>
      <c r="J16" s="37">
        <f t="shared" si="1"/>
        <v>1020757266.0673275</v>
      </c>
      <c r="K16" s="37">
        <f t="shared" si="1"/>
        <v>1061587556.7100207</v>
      </c>
      <c r="L16" s="37">
        <f t="shared" si="1"/>
        <v>1104051058.9784214</v>
      </c>
      <c r="M16" s="37">
        <f t="shared" si="1"/>
        <v>1148213101.3375583</v>
      </c>
      <c r="N16" s="37">
        <f t="shared" si="1"/>
        <v>1194141625.3910608</v>
      </c>
      <c r="O16" s="37">
        <f t="shared" si="1"/>
        <v>1241907290.4067032</v>
      </c>
      <c r="P16" s="37">
        <f t="shared" si="1"/>
        <v>1291583582.0229714</v>
      </c>
      <c r="Q16" s="37">
        <f t="shared" si="1"/>
        <v>1343246925.3038902</v>
      </c>
      <c r="R16" s="37">
        <f>SUM(C16:Q16)</f>
        <v>15144283507.181133</v>
      </c>
    </row>
    <row r="18" spans="2:18" x14ac:dyDescent="0.2">
      <c r="B18" s="19" t="s">
        <v>143</v>
      </c>
      <c r="C18" s="20"/>
      <c r="D18" s="20"/>
      <c r="E18" s="20"/>
      <c r="F18" s="20"/>
      <c r="G18" s="20"/>
      <c r="H18" s="20"/>
      <c r="I18" s="20"/>
      <c r="J18" s="20"/>
      <c r="K18" s="20"/>
      <c r="L18" s="20"/>
      <c r="M18" s="20"/>
      <c r="N18" s="20"/>
      <c r="O18" s="20"/>
      <c r="P18" s="20"/>
      <c r="Q18" s="20"/>
      <c r="R18" s="20"/>
    </row>
    <row r="19" spans="2:18" x14ac:dyDescent="0.2">
      <c r="B19" s="38" t="s">
        <v>144</v>
      </c>
      <c r="C19" s="39">
        <f>-PARAMETROS!$C$10*C$8*C$7</f>
        <v>-193928987.20000002</v>
      </c>
      <c r="D19" s="39">
        <f>-PARAMETROS!$C$10*D$8*D$7</f>
        <v>-403372293.37600005</v>
      </c>
      <c r="E19" s="39">
        <f>-PARAMETROS!$C$10*E$8*E$7</f>
        <v>-419507185.11104006</v>
      </c>
      <c r="F19" s="39">
        <f>-PARAMETROS!$C$10*F$8*F$7</f>
        <v>-436287472.51548165</v>
      </c>
      <c r="G19" s="39">
        <f>-PARAMETROS!$C$10*G$8*G$7</f>
        <v>-453738971.41610098</v>
      </c>
      <c r="H19" s="39">
        <f>-PARAMETROS!$C$10*H$8*H$7</f>
        <v>-471888530.27274501</v>
      </c>
      <c r="I19" s="39">
        <f>-PARAMETROS!$C$10*I$8*I$7</f>
        <v>-490764071.4836548</v>
      </c>
      <c r="J19" s="39">
        <f>-PARAMETROS!$C$10*J$8*J$7</f>
        <v>-510394634.34300107</v>
      </c>
      <c r="K19" s="39">
        <f>-PARAMETROS!$C$10*K$8*K$7</f>
        <v>-530810419.71672118</v>
      </c>
      <c r="L19" s="39">
        <f>-PARAMETROS!$C$10*L$8*L$7</f>
        <v>-552042836.50539005</v>
      </c>
      <c r="M19" s="39">
        <f>-PARAMETROS!$C$10*M$8*M$7</f>
        <v>-574124549.96560562</v>
      </c>
      <c r="N19" s="39">
        <f>-PARAMETROS!$C$10*N$8*N$7</f>
        <v>-597089531.96422994</v>
      </c>
      <c r="O19" s="39">
        <f>-PARAMETROS!$C$10*O$8*O$7</f>
        <v>-620973113.24279916</v>
      </c>
      <c r="P19" s="39">
        <f>-PARAMETROS!$C$10*P$8*P$7</f>
        <v>-645812037.77251112</v>
      </c>
      <c r="Q19" s="39">
        <f>-PARAMETROS!$C$10*Q$8*Q$7</f>
        <v>-671644519.2834115</v>
      </c>
      <c r="R19" s="40">
        <f t="shared" ref="R19:R24" si="2">SUM(C19:Q19)</f>
        <v>-7572379154.1686916</v>
      </c>
    </row>
    <row r="20" spans="2:18" x14ac:dyDescent="0.2">
      <c r="B20" s="38" t="s">
        <v>145</v>
      </c>
      <c r="C20" s="39">
        <f>-PARAMETROS!$C$11*C$8*C$7</f>
        <v>0</v>
      </c>
      <c r="D20" s="39">
        <f>-PARAMETROS!$C$11*D$8*D$7</f>
        <v>0</v>
      </c>
      <c r="E20" s="39">
        <f>-PARAMETROS!$C$11*E$8*E$7</f>
        <v>0</v>
      </c>
      <c r="F20" s="39">
        <f>-PARAMETROS!$C$11*F$8*F$7</f>
        <v>0</v>
      </c>
      <c r="G20" s="39">
        <f>-PARAMETROS!$C$11*G$8*G$7</f>
        <v>0</v>
      </c>
      <c r="H20" s="39">
        <f>-PARAMETROS!$C$11*H$8*H$7</f>
        <v>0</v>
      </c>
      <c r="I20" s="39">
        <f>-PARAMETROS!$C$11*I$8*I$7</f>
        <v>0</v>
      </c>
      <c r="J20" s="39">
        <f>-PARAMETROS!$C$11*J$8*J$7</f>
        <v>0</v>
      </c>
      <c r="K20" s="39">
        <f>-PARAMETROS!$C$11*K$8*K$7</f>
        <v>0</v>
      </c>
      <c r="L20" s="39">
        <f>-PARAMETROS!$C$11*L$8*L$7</f>
        <v>0</v>
      </c>
      <c r="M20" s="39">
        <f>-PARAMETROS!$C$11*M$8*M$7</f>
        <v>0</v>
      </c>
      <c r="N20" s="39">
        <f>-PARAMETROS!$C$11*N$8*N$7</f>
        <v>0</v>
      </c>
      <c r="O20" s="39">
        <f>-PARAMETROS!$C$11*O$8*O$7</f>
        <v>0</v>
      </c>
      <c r="P20" s="39">
        <f>-PARAMETROS!$C$11*P$8*P$7</f>
        <v>0</v>
      </c>
      <c r="Q20" s="39">
        <f>-PARAMETROS!$C$11*Q$8*Q$7</f>
        <v>0</v>
      </c>
      <c r="R20" s="40">
        <f t="shared" si="2"/>
        <v>0</v>
      </c>
    </row>
    <row r="21" spans="2:18" x14ac:dyDescent="0.2">
      <c r="B21" s="38" t="s">
        <v>146</v>
      </c>
      <c r="C21" s="39">
        <f>IF(C$6=PARAMETROS!$C$23,-PARAMETROS!$C$22,0)</f>
        <v>-1500000000</v>
      </c>
      <c r="D21" s="39">
        <f>IF(D$6=PARAMETROS!$C$23,-PARAMETROS!$C$22,0)</f>
        <v>0</v>
      </c>
      <c r="E21" s="39">
        <f>IF(E$6=PARAMETROS!$C$23,-PARAMETROS!$C$22,0)</f>
        <v>0</v>
      </c>
      <c r="F21" s="39">
        <f>IF(F$6=PARAMETROS!$C$23,-PARAMETROS!$C$22,0)</f>
        <v>0</v>
      </c>
      <c r="G21" s="39">
        <f>IF(G$6=PARAMETROS!$C$23,-PARAMETROS!$C$22,0)</f>
        <v>0</v>
      </c>
      <c r="H21" s="39">
        <f>IF(H$6=PARAMETROS!$C$23,-PARAMETROS!$C$22,0)</f>
        <v>0</v>
      </c>
      <c r="I21" s="39">
        <f>IF(I$6=PARAMETROS!$C$23,-PARAMETROS!$C$22,0)</f>
        <v>0</v>
      </c>
      <c r="J21" s="39">
        <f>IF(J$6=PARAMETROS!$C$23,-PARAMETROS!$C$22,0)</f>
        <v>0</v>
      </c>
      <c r="K21" s="39">
        <f>IF(K$6=PARAMETROS!$C$23,-PARAMETROS!$C$22,0)</f>
        <v>0</v>
      </c>
      <c r="L21" s="39">
        <f>IF(L$6=PARAMETROS!$C$23,-PARAMETROS!$C$22,0)</f>
        <v>0</v>
      </c>
      <c r="M21" s="39">
        <f>IF(M$6=PARAMETROS!$C$23,-PARAMETROS!$C$22,0)</f>
        <v>0</v>
      </c>
      <c r="N21" s="39">
        <f>IF(N$6=PARAMETROS!$C$23,-PARAMETROS!$C$22,0)</f>
        <v>0</v>
      </c>
      <c r="O21" s="39">
        <f>IF(O$6=PARAMETROS!$C$23,-PARAMETROS!$C$22,0)</f>
        <v>0</v>
      </c>
      <c r="P21" s="39">
        <f>IF(P$6=PARAMETROS!$C$23,-PARAMETROS!$C$22,0)</f>
        <v>0</v>
      </c>
      <c r="Q21" s="39">
        <f>IF(Q$6=PARAMETROS!$C$23,-PARAMETROS!$C$22,0)</f>
        <v>0</v>
      </c>
      <c r="R21" s="40">
        <f t="shared" si="2"/>
        <v>-1500000000</v>
      </c>
    </row>
    <row r="22" spans="2:18" x14ac:dyDescent="0.2">
      <c r="B22" s="38" t="s">
        <v>147</v>
      </c>
      <c r="C22" s="39">
        <f>IF(C$6=PARAMETROS!$C$26,-PARAMETROS!$C$28,0)</f>
        <v>0</v>
      </c>
      <c r="D22" s="39">
        <f>IF(D$6=PARAMETROS!$C$26,-PARAMETROS!$C$28,0)</f>
        <v>-3225000000</v>
      </c>
      <c r="E22" s="39">
        <f>IF(E$6=PARAMETROS!$C$26,-PARAMETROS!$C$28,0)</f>
        <v>0</v>
      </c>
      <c r="F22" s="39">
        <f>IF(F$6=PARAMETROS!$C$26,-PARAMETROS!$C$28,0)</f>
        <v>0</v>
      </c>
      <c r="G22" s="39">
        <f>IF(G$6=PARAMETROS!$C$26,-PARAMETROS!$C$28,0)</f>
        <v>0</v>
      </c>
      <c r="H22" s="39">
        <f>IF(H$6=PARAMETROS!$C$26,-PARAMETROS!$C$28,0)</f>
        <v>0</v>
      </c>
      <c r="I22" s="39">
        <f>IF(I$6=PARAMETROS!$C$26,-PARAMETROS!$C$28,0)</f>
        <v>0</v>
      </c>
      <c r="J22" s="39">
        <f>IF(J$6=PARAMETROS!$C$26,-PARAMETROS!$C$28,0)</f>
        <v>0</v>
      </c>
      <c r="K22" s="39">
        <f>IF(K$6=PARAMETROS!$C$26,-PARAMETROS!$C$28,0)</f>
        <v>0</v>
      </c>
      <c r="L22" s="39">
        <f>IF(L$6=PARAMETROS!$C$26,-PARAMETROS!$C$28,0)</f>
        <v>0</v>
      </c>
      <c r="M22" s="39">
        <f>IF(M$6=PARAMETROS!$C$26,-PARAMETROS!$C$28,0)</f>
        <v>0</v>
      </c>
      <c r="N22" s="39">
        <f>IF(N$6=PARAMETROS!$C$26,-PARAMETROS!$C$28,0)</f>
        <v>0</v>
      </c>
      <c r="O22" s="39">
        <f>IF(O$6=PARAMETROS!$C$26,-PARAMETROS!$C$28,0)</f>
        <v>0</v>
      </c>
      <c r="P22" s="39">
        <f>IF(P$6=PARAMETROS!$C$26,-PARAMETROS!$C$28,0)</f>
        <v>0</v>
      </c>
      <c r="Q22" s="39">
        <f>IF(Q$6=PARAMETROS!$C$26,-PARAMETROS!$C$28,0)</f>
        <v>0</v>
      </c>
      <c r="R22" s="40">
        <f t="shared" si="2"/>
        <v>-3225000000</v>
      </c>
    </row>
    <row r="23" spans="2:18" x14ac:dyDescent="0.2">
      <c r="B23" s="38" t="s">
        <v>29</v>
      </c>
      <c r="C23" s="39">
        <f>IF(C$6=PARAMETROS!$C$30,-PARAMETROS!$C$29,0)</f>
        <v>-300000000</v>
      </c>
      <c r="D23" s="39">
        <f>IF(D$6=PARAMETROS!$C$30,-PARAMETROS!$C$29,0)</f>
        <v>0</v>
      </c>
      <c r="E23" s="39">
        <f>IF(E$6=PARAMETROS!$C$30,-PARAMETROS!$C$29,0)</f>
        <v>0</v>
      </c>
      <c r="F23" s="39">
        <f>IF(F$6=PARAMETROS!$C$30,-PARAMETROS!$C$29,0)</f>
        <v>0</v>
      </c>
      <c r="G23" s="39">
        <f>IF(G$6=PARAMETROS!$C$30,-PARAMETROS!$C$29,0)</f>
        <v>0</v>
      </c>
      <c r="H23" s="39">
        <f>IF(H$6=PARAMETROS!$C$30,-PARAMETROS!$C$29,0)</f>
        <v>0</v>
      </c>
      <c r="I23" s="39">
        <f>IF(I$6=PARAMETROS!$C$30,-PARAMETROS!$C$29,0)</f>
        <v>0</v>
      </c>
      <c r="J23" s="39">
        <f>IF(J$6=PARAMETROS!$C$30,-PARAMETROS!$C$29,0)</f>
        <v>0</v>
      </c>
      <c r="K23" s="39">
        <f>IF(K$6=PARAMETROS!$C$30,-PARAMETROS!$C$29,0)</f>
        <v>0</v>
      </c>
      <c r="L23" s="39">
        <f>IF(L$6=PARAMETROS!$C$30,-PARAMETROS!$C$29,0)</f>
        <v>0</v>
      </c>
      <c r="M23" s="39">
        <f>IF(M$6=PARAMETROS!$C$30,-PARAMETROS!$C$29,0)</f>
        <v>0</v>
      </c>
      <c r="N23" s="39">
        <f>IF(N$6=PARAMETROS!$C$30,-PARAMETROS!$C$29,0)</f>
        <v>0</v>
      </c>
      <c r="O23" s="39">
        <f>IF(O$6=PARAMETROS!$C$30,-PARAMETROS!$C$29,0)</f>
        <v>0</v>
      </c>
      <c r="P23" s="39">
        <f>IF(P$6=PARAMETROS!$C$30,-PARAMETROS!$C$29,0)</f>
        <v>0</v>
      </c>
      <c r="Q23" s="39">
        <f>IF(Q$6=PARAMETROS!$C$30,-PARAMETROS!$C$29,0)</f>
        <v>0</v>
      </c>
      <c r="R23" s="40">
        <f t="shared" si="2"/>
        <v>-300000000</v>
      </c>
    </row>
    <row r="24" spans="2:18" x14ac:dyDescent="0.2">
      <c r="B24" s="41" t="s">
        <v>148</v>
      </c>
      <c r="C24" s="37">
        <f t="shared" ref="C24:Q24" si="3">SUM(C19:C23)</f>
        <v>-1993928987.2</v>
      </c>
      <c r="D24" s="37">
        <f t="shared" si="3"/>
        <v>-3628372293.3759999</v>
      </c>
      <c r="E24" s="37">
        <f t="shared" si="3"/>
        <v>-419507185.11104006</v>
      </c>
      <c r="F24" s="37">
        <f t="shared" si="3"/>
        <v>-436287472.51548165</v>
      </c>
      <c r="G24" s="37">
        <f t="shared" si="3"/>
        <v>-453738971.41610098</v>
      </c>
      <c r="H24" s="37">
        <f t="shared" si="3"/>
        <v>-471888530.27274501</v>
      </c>
      <c r="I24" s="37">
        <f t="shared" si="3"/>
        <v>-490764071.4836548</v>
      </c>
      <c r="J24" s="37">
        <f t="shared" si="3"/>
        <v>-510394634.34300107</v>
      </c>
      <c r="K24" s="37">
        <f t="shared" si="3"/>
        <v>-530810419.71672118</v>
      </c>
      <c r="L24" s="37">
        <f t="shared" si="3"/>
        <v>-552042836.50539005</v>
      </c>
      <c r="M24" s="37">
        <f t="shared" si="3"/>
        <v>-574124549.96560562</v>
      </c>
      <c r="N24" s="37">
        <f t="shared" si="3"/>
        <v>-597089531.96422994</v>
      </c>
      <c r="O24" s="37">
        <f t="shared" si="3"/>
        <v>-620973113.24279916</v>
      </c>
      <c r="P24" s="37">
        <f t="shared" si="3"/>
        <v>-645812037.77251112</v>
      </c>
      <c r="Q24" s="37">
        <f t="shared" si="3"/>
        <v>-671644519.2834115</v>
      </c>
      <c r="R24" s="37">
        <f t="shared" si="2"/>
        <v>-12597379154.168692</v>
      </c>
    </row>
    <row r="26" spans="2:18" x14ac:dyDescent="0.2">
      <c r="B26" s="42" t="s">
        <v>149</v>
      </c>
      <c r="C26" s="43">
        <f t="shared" ref="C26:Q26" si="4">C16+C24</f>
        <v>-1606083172.48</v>
      </c>
      <c r="D26" s="43">
        <f t="shared" si="4"/>
        <v>-2821652998.7584</v>
      </c>
      <c r="E26" s="43">
        <f t="shared" si="4"/>
        <v>419480881.291264</v>
      </c>
      <c r="F26" s="43">
        <f t="shared" si="4"/>
        <v>436260116.54291469</v>
      </c>
      <c r="G26" s="43">
        <f t="shared" si="4"/>
        <v>453710521.20463133</v>
      </c>
      <c r="H26" s="43">
        <f t="shared" si="4"/>
        <v>471858942.05281651</v>
      </c>
      <c r="I26" s="43">
        <f t="shared" si="4"/>
        <v>490733299.73492914</v>
      </c>
      <c r="J26" s="43">
        <f t="shared" si="4"/>
        <v>510362631.72432643</v>
      </c>
      <c r="K26" s="43">
        <f t="shared" si="4"/>
        <v>530777136.99329948</v>
      </c>
      <c r="L26" s="43">
        <f t="shared" si="4"/>
        <v>552008222.4730314</v>
      </c>
      <c r="M26" s="43">
        <f t="shared" si="4"/>
        <v>574088551.37195265</v>
      </c>
      <c r="N26" s="43">
        <f t="shared" si="4"/>
        <v>597052093.42683089</v>
      </c>
      <c r="O26" s="43">
        <f t="shared" si="4"/>
        <v>620934177.16390407</v>
      </c>
      <c r="P26" s="43">
        <f t="shared" si="4"/>
        <v>645771544.25046027</v>
      </c>
      <c r="Q26" s="43">
        <f t="shared" si="4"/>
        <v>671602406.02047873</v>
      </c>
      <c r="R26" s="43">
        <f>SUM(C26:Q26)</f>
        <v>2546904353.0124402</v>
      </c>
    </row>
    <row r="28" spans="2:18" x14ac:dyDescent="0.2">
      <c r="B28" s="19" t="s">
        <v>150</v>
      </c>
      <c r="C28" s="20"/>
      <c r="D28" s="20"/>
      <c r="E28" s="20"/>
      <c r="F28" s="20"/>
      <c r="G28" s="20"/>
      <c r="H28" s="20"/>
      <c r="I28" s="20"/>
      <c r="J28" s="20"/>
      <c r="K28" s="20"/>
      <c r="L28" s="20"/>
      <c r="M28" s="20"/>
      <c r="N28" s="20"/>
      <c r="O28" s="20"/>
      <c r="P28" s="20"/>
      <c r="Q28" s="20"/>
      <c r="R28" s="20"/>
    </row>
    <row r="29" spans="2:18" x14ac:dyDescent="0.2">
      <c r="B29" s="38" t="s">
        <v>151</v>
      </c>
      <c r="C29" s="39">
        <f>IF(C$6=PARAMETROS!$C$17,PARAMETROS!$C$16,0)</f>
        <v>6482000000</v>
      </c>
      <c r="D29" s="39">
        <f>IF(D$6=PARAMETROS!$C$17,PARAMETROS!$C$16,0)</f>
        <v>0</v>
      </c>
      <c r="E29" s="39">
        <f>IF(E$6=PARAMETROS!$C$17,PARAMETROS!$C$16,0)</f>
        <v>0</v>
      </c>
      <c r="F29" s="39">
        <f>IF(F$6=PARAMETROS!$C$17,PARAMETROS!$C$16,0)</f>
        <v>0</v>
      </c>
      <c r="G29" s="39">
        <f>IF(G$6=PARAMETROS!$C$17,PARAMETROS!$C$16,0)</f>
        <v>0</v>
      </c>
      <c r="H29" s="39">
        <f>IF(H$6=PARAMETROS!$C$17,PARAMETROS!$C$16,0)</f>
        <v>0</v>
      </c>
      <c r="I29" s="39">
        <f>IF(I$6=PARAMETROS!$C$17,PARAMETROS!$C$16,0)</f>
        <v>0</v>
      </c>
      <c r="J29" s="39">
        <f>IF(J$6=PARAMETROS!$C$17,PARAMETROS!$C$16,0)</f>
        <v>0</v>
      </c>
      <c r="K29" s="39">
        <f>IF(K$6=PARAMETROS!$C$17,PARAMETROS!$C$16,0)</f>
        <v>0</v>
      </c>
      <c r="L29" s="39">
        <f>IF(L$6=PARAMETROS!$C$17,PARAMETROS!$C$16,0)</f>
        <v>0</v>
      </c>
      <c r="M29" s="39">
        <f>IF(M$6=PARAMETROS!$C$17,PARAMETROS!$C$16,0)</f>
        <v>0</v>
      </c>
      <c r="N29" s="39">
        <f>IF(N$6=PARAMETROS!$C$17,PARAMETROS!$C$16,0)</f>
        <v>0</v>
      </c>
      <c r="O29" s="39">
        <f>IF(O$6=PARAMETROS!$C$17,PARAMETROS!$C$16,0)</f>
        <v>0</v>
      </c>
      <c r="P29" s="39">
        <f>IF(P$6=PARAMETROS!$C$17,PARAMETROS!$C$16,0)</f>
        <v>0</v>
      </c>
      <c r="Q29" s="39">
        <f>IF(Q$6=PARAMETROS!$C$17,PARAMETROS!$C$16,0)</f>
        <v>0</v>
      </c>
      <c r="R29" s="40">
        <f>SUM(C29:Q29)</f>
        <v>6482000000</v>
      </c>
    </row>
    <row r="30" spans="2:18" x14ac:dyDescent="0.2">
      <c r="B30" s="38" t="s">
        <v>184</v>
      </c>
      <c r="C30" s="44">
        <f>MAX(0,PARAMETROS!$C$13-(C10+C26+C29+C42))</f>
        <v>0</v>
      </c>
      <c r="D30" s="44">
        <f>MAX(0,PARAMETROS!$C$13-(D10+D26+D29+D42))</f>
        <v>448128193.90839958</v>
      </c>
      <c r="E30" s="44">
        <f>MAX(0,PARAMETROS!$C$13-(E10+E26+E29+E42))</f>
        <v>365270459.34623617</v>
      </c>
      <c r="F30" s="44">
        <f>MAX(0,PARAMETROS!$C$13-(F10+F26+F29+F42))</f>
        <v>0</v>
      </c>
      <c r="G30" s="44">
        <f>MAX(0,PARAMETROS!$C$13-(G10+G26+G29+G42))</f>
        <v>0</v>
      </c>
      <c r="H30" s="44">
        <f>MAX(0,PARAMETROS!$C$13-(H10+H26+H29+H42))</f>
        <v>0</v>
      </c>
      <c r="I30" s="44">
        <f>MAX(0,PARAMETROS!$C$13-(I10+I26+I29+I42))</f>
        <v>0</v>
      </c>
      <c r="J30" s="44">
        <f>MAX(0,PARAMETROS!$C$13-(J10+J26+J29+J42))</f>
        <v>0</v>
      </c>
      <c r="K30" s="44">
        <f>MAX(0,PARAMETROS!$C$13-(K10+K26+K29+K42))</f>
        <v>0</v>
      </c>
      <c r="L30" s="44">
        <f>MAX(0,PARAMETROS!$C$13-(L10+L26+L29+L42))</f>
        <v>952076823.91155136</v>
      </c>
      <c r="M30" s="44">
        <f>MAX(0,PARAMETROS!$C$13-(M10+M26+M29+M42))</f>
        <v>1232429625.6280475</v>
      </c>
      <c r="N30" s="44">
        <f>MAX(0,PARAMETROS!$C$13-(N10+N26+N29+N42))</f>
        <v>1209466083.5731692</v>
      </c>
      <c r="O30" s="44">
        <f>MAX(0,PARAMETROS!$C$13-(O10+O26+O29+O42))</f>
        <v>1185583999.8360958</v>
      </c>
      <c r="P30" s="44">
        <f>MAX(0,PARAMETROS!$C$13-(P10+P26+P29+P42))</f>
        <v>1160746632.7495399</v>
      </c>
      <c r="Q30" s="44">
        <f>MAX(0,PARAMETROS!$C$13-(Q10+Q26+Q29+Q42))</f>
        <v>1134915770.9795213</v>
      </c>
      <c r="R30" s="40">
        <f>SUM(C30:Q30)</f>
        <v>7688617589.93256</v>
      </c>
    </row>
    <row r="31" spans="2:18" x14ac:dyDescent="0.2">
      <c r="B31" s="41" t="s">
        <v>152</v>
      </c>
      <c r="C31" s="37">
        <f t="shared" ref="C31:Q31" si="5">SUM(C29:C30)</f>
        <v>6482000000</v>
      </c>
      <c r="D31" s="37">
        <f t="shared" si="5"/>
        <v>448128193.90839958</v>
      </c>
      <c r="E31" s="37">
        <f t="shared" si="5"/>
        <v>365270459.34623617</v>
      </c>
      <c r="F31" s="37">
        <f t="shared" si="5"/>
        <v>0</v>
      </c>
      <c r="G31" s="37">
        <f t="shared" si="5"/>
        <v>0</v>
      </c>
      <c r="H31" s="37">
        <f t="shared" si="5"/>
        <v>0</v>
      </c>
      <c r="I31" s="37">
        <f t="shared" si="5"/>
        <v>0</v>
      </c>
      <c r="J31" s="37">
        <f t="shared" si="5"/>
        <v>0</v>
      </c>
      <c r="K31" s="37">
        <f t="shared" si="5"/>
        <v>0</v>
      </c>
      <c r="L31" s="37">
        <f t="shared" si="5"/>
        <v>952076823.91155136</v>
      </c>
      <c r="M31" s="37">
        <f t="shared" si="5"/>
        <v>1232429625.6280475</v>
      </c>
      <c r="N31" s="37">
        <f t="shared" si="5"/>
        <v>1209466083.5731692</v>
      </c>
      <c r="O31" s="37">
        <f t="shared" si="5"/>
        <v>1185583999.8360958</v>
      </c>
      <c r="P31" s="37">
        <f t="shared" si="5"/>
        <v>1160746632.7495399</v>
      </c>
      <c r="Q31" s="37">
        <f t="shared" si="5"/>
        <v>1134915770.9795213</v>
      </c>
      <c r="R31" s="37">
        <f>SUM(C31:Q31)</f>
        <v>14170617589.932562</v>
      </c>
    </row>
    <row r="33" spans="2:18" x14ac:dyDescent="0.2">
      <c r="B33" s="42" t="s">
        <v>153</v>
      </c>
      <c r="C33" s="43">
        <f t="shared" ref="C33:Q33" si="6">C26+C31</f>
        <v>4875916827.5200005</v>
      </c>
      <c r="D33" s="43">
        <f t="shared" si="6"/>
        <v>-2373524804.8500004</v>
      </c>
      <c r="E33" s="43">
        <f t="shared" si="6"/>
        <v>784751340.63750017</v>
      </c>
      <c r="F33" s="43">
        <f t="shared" si="6"/>
        <v>436260116.54291469</v>
      </c>
      <c r="G33" s="43">
        <f t="shared" si="6"/>
        <v>453710521.20463133</v>
      </c>
      <c r="H33" s="43">
        <f t="shared" si="6"/>
        <v>471858942.05281651</v>
      </c>
      <c r="I33" s="43">
        <f t="shared" si="6"/>
        <v>490733299.73492914</v>
      </c>
      <c r="J33" s="43">
        <f t="shared" si="6"/>
        <v>510362631.72432643</v>
      </c>
      <c r="K33" s="43">
        <f t="shared" si="6"/>
        <v>530777136.99329948</v>
      </c>
      <c r="L33" s="43">
        <f t="shared" si="6"/>
        <v>1504085046.3845828</v>
      </c>
      <c r="M33" s="43">
        <f t="shared" si="6"/>
        <v>1806518177</v>
      </c>
      <c r="N33" s="43">
        <f t="shared" si="6"/>
        <v>1806518177</v>
      </c>
      <c r="O33" s="43">
        <f t="shared" si="6"/>
        <v>1806518177</v>
      </c>
      <c r="P33" s="43">
        <f t="shared" si="6"/>
        <v>1806518177</v>
      </c>
      <c r="Q33" s="43">
        <f t="shared" si="6"/>
        <v>1806518177</v>
      </c>
      <c r="R33" s="43">
        <f>SUM(C33:Q33)</f>
        <v>16717521942.945</v>
      </c>
    </row>
    <row r="35" spans="2:18" x14ac:dyDescent="0.2">
      <c r="B35" s="19" t="s">
        <v>154</v>
      </c>
      <c r="C35" s="20"/>
      <c r="D35" s="20"/>
      <c r="E35" s="20"/>
      <c r="F35" s="20"/>
      <c r="G35" s="20"/>
      <c r="H35" s="20"/>
      <c r="I35" s="20"/>
      <c r="J35" s="20"/>
      <c r="K35" s="20"/>
      <c r="L35" s="20"/>
      <c r="M35" s="20"/>
      <c r="N35" s="20"/>
      <c r="O35" s="20"/>
      <c r="P35" s="20"/>
      <c r="Q35" s="20"/>
      <c r="R35" s="20"/>
    </row>
    <row r="36" spans="2:18" x14ac:dyDescent="0.2">
      <c r="B36" s="38" t="s">
        <v>155</v>
      </c>
      <c r="C36" s="39">
        <f>IF(C$6=PARAMETROS!$C$33,-CALIFICACION!$C$6,0)</f>
        <v>-2206249920.6700001</v>
      </c>
      <c r="D36" s="39">
        <f>IF(D$6=PARAMETROS!$C$33,-CALIFICACION!$C$6,0)</f>
        <v>0</v>
      </c>
      <c r="E36" s="39">
        <f>IF(E$6=PARAMETROS!$C$33,-CALIFICACION!$C$6,0)</f>
        <v>0</v>
      </c>
      <c r="F36" s="39">
        <f>IF(F$6=PARAMETROS!$C$33,-CALIFICACION!$C$6,0)</f>
        <v>0</v>
      </c>
      <c r="G36" s="39">
        <f>IF(G$6=PARAMETROS!$C$33,-CALIFICACION!$C$6,0)</f>
        <v>0</v>
      </c>
      <c r="H36" s="39">
        <f>IF(H$6=PARAMETROS!$C$33,-CALIFICACION!$C$6,0)</f>
        <v>0</v>
      </c>
      <c r="I36" s="39">
        <f>IF(I$6=PARAMETROS!$C$33,-CALIFICACION!$C$6,0)</f>
        <v>0</v>
      </c>
      <c r="J36" s="39">
        <f>IF(J$6=PARAMETROS!$C$33,-CALIFICACION!$C$6,0)</f>
        <v>0</v>
      </c>
      <c r="K36" s="39">
        <f>IF(K$6=PARAMETROS!$C$33,-CALIFICACION!$C$6,0)</f>
        <v>0</v>
      </c>
      <c r="L36" s="39">
        <f>IF(L$6=PARAMETROS!$C$33,-CALIFICACION!$C$6,0)</f>
        <v>0</v>
      </c>
      <c r="M36" s="39">
        <f>IF(M$6=PARAMETROS!$C$33,-CALIFICACION!$C$6,0)</f>
        <v>0</v>
      </c>
      <c r="N36" s="39">
        <f>IF(N$6=PARAMETROS!$C$33,-CALIFICACION!$C$6,0)</f>
        <v>0</v>
      </c>
      <c r="O36" s="39">
        <f>IF(O$6=PARAMETROS!$C$33,-CALIFICACION!$C$6,0)</f>
        <v>0</v>
      </c>
      <c r="P36" s="39">
        <f>IF(P$6=PARAMETROS!$C$33,-CALIFICACION!$C$6,0)</f>
        <v>0</v>
      </c>
      <c r="Q36" s="39">
        <f>IF(Q$6=PARAMETROS!$C$33,-CALIFICACION!$C$6,0)</f>
        <v>0</v>
      </c>
      <c r="R36" s="40">
        <f t="shared" ref="R36:R42" si="7">SUM(C36:Q36)</f>
        <v>-2206249920.6700001</v>
      </c>
    </row>
    <row r="37" spans="2:18" x14ac:dyDescent="0.2">
      <c r="B37" s="38" t="s">
        <v>156</v>
      </c>
      <c r="C37" s="39">
        <f>IF(C$6=PARAMETROS!$C$33,-CALIFICACION!$C$7,0)</f>
        <v>-211439472</v>
      </c>
      <c r="D37" s="39">
        <f>IF(D$6=PARAMETROS!$C$33,-CALIFICACION!$C$7,0)</f>
        <v>0</v>
      </c>
      <c r="E37" s="39">
        <f>IF(E$6=PARAMETROS!$C$33,-CALIFICACION!$C$7,0)</f>
        <v>0</v>
      </c>
      <c r="F37" s="39">
        <f>IF(F$6=PARAMETROS!$C$33,-CALIFICACION!$C$7,0)</f>
        <v>0</v>
      </c>
      <c r="G37" s="39">
        <f>IF(G$6=PARAMETROS!$C$33,-CALIFICACION!$C$7,0)</f>
        <v>0</v>
      </c>
      <c r="H37" s="39">
        <f>IF(H$6=PARAMETROS!$C$33,-CALIFICACION!$C$7,0)</f>
        <v>0</v>
      </c>
      <c r="I37" s="39">
        <f>IF(I$6=PARAMETROS!$C$33,-CALIFICACION!$C$7,0)</f>
        <v>0</v>
      </c>
      <c r="J37" s="39">
        <f>IF(J$6=PARAMETROS!$C$33,-CALIFICACION!$C$7,0)</f>
        <v>0</v>
      </c>
      <c r="K37" s="39">
        <f>IF(K$6=PARAMETROS!$C$33,-CALIFICACION!$C$7,0)</f>
        <v>0</v>
      </c>
      <c r="L37" s="39">
        <f>IF(L$6=PARAMETROS!$C$33,-CALIFICACION!$C$7,0)</f>
        <v>0</v>
      </c>
      <c r="M37" s="39">
        <f>IF(M$6=PARAMETROS!$C$33,-CALIFICACION!$C$7,0)</f>
        <v>0</v>
      </c>
      <c r="N37" s="39">
        <f>IF(N$6=PARAMETROS!$C$33,-CALIFICACION!$C$7,0)</f>
        <v>0</v>
      </c>
      <c r="O37" s="39">
        <f>IF(O$6=PARAMETROS!$C$33,-CALIFICACION!$C$7,0)</f>
        <v>0</v>
      </c>
      <c r="P37" s="39">
        <f>IF(P$6=PARAMETROS!$C$33,-CALIFICACION!$C$7,0)</f>
        <v>0</v>
      </c>
      <c r="Q37" s="39">
        <f>IF(Q$6=PARAMETROS!$C$33,-CALIFICACION!$C$7,0)</f>
        <v>0</v>
      </c>
      <c r="R37" s="40">
        <f t="shared" si="7"/>
        <v>-211439472</v>
      </c>
    </row>
    <row r="38" spans="2:18" x14ac:dyDescent="0.2">
      <c r="B38" s="38" t="s">
        <v>157</v>
      </c>
      <c r="C38" s="39">
        <f>IF(C$6=PARAMETROS!$C$33,-CALIFICACION!$C$8,0)</f>
        <v>-97689747</v>
      </c>
      <c r="D38" s="39">
        <f>IF(D$6=PARAMETROS!$C$33,-CALIFICACION!$C$8,0)</f>
        <v>0</v>
      </c>
      <c r="E38" s="39">
        <f>IF(E$6=PARAMETROS!$C$33,-CALIFICACION!$C$8,0)</f>
        <v>0</v>
      </c>
      <c r="F38" s="39">
        <f>IF(F$6=PARAMETROS!$C$33,-CALIFICACION!$C$8,0)</f>
        <v>0</v>
      </c>
      <c r="G38" s="39">
        <f>IF(G$6=PARAMETROS!$C$33,-CALIFICACION!$C$8,0)</f>
        <v>0</v>
      </c>
      <c r="H38" s="39">
        <f>IF(H$6=PARAMETROS!$C$33,-CALIFICACION!$C$8,0)</f>
        <v>0</v>
      </c>
      <c r="I38" s="39">
        <f>IF(I$6=PARAMETROS!$C$33,-CALIFICACION!$C$8,0)</f>
        <v>0</v>
      </c>
      <c r="J38" s="39">
        <f>IF(J$6=PARAMETROS!$C$33,-CALIFICACION!$C$8,0)</f>
        <v>0</v>
      </c>
      <c r="K38" s="39">
        <f>IF(K$6=PARAMETROS!$C$33,-CALIFICACION!$C$8,0)</f>
        <v>0</v>
      </c>
      <c r="L38" s="39">
        <f>IF(L$6=PARAMETROS!$C$33,-CALIFICACION!$C$8,0)</f>
        <v>0</v>
      </c>
      <c r="M38" s="39">
        <f>IF(M$6=PARAMETROS!$C$33,-CALIFICACION!$C$8,0)</f>
        <v>0</v>
      </c>
      <c r="N38" s="39">
        <f>IF(N$6=PARAMETROS!$C$33,-CALIFICACION!$C$8,0)</f>
        <v>0</v>
      </c>
      <c r="O38" s="39">
        <f>IF(O$6=PARAMETROS!$C$33,-CALIFICACION!$C$8,0)</f>
        <v>0</v>
      </c>
      <c r="P38" s="39">
        <f>IF(P$6=PARAMETROS!$C$33,-CALIFICACION!$C$8,0)</f>
        <v>0</v>
      </c>
      <c r="Q38" s="39">
        <f>IF(Q$6=PARAMETROS!$C$33,-CALIFICACION!$C$8,0)</f>
        <v>0</v>
      </c>
      <c r="R38" s="40">
        <f t="shared" si="7"/>
        <v>-97689747</v>
      </c>
    </row>
    <row r="39" spans="2:18" x14ac:dyDescent="0.2">
      <c r="B39" s="38" t="s">
        <v>158</v>
      </c>
      <c r="C39" s="39">
        <f>0</f>
        <v>0</v>
      </c>
      <c r="D39" s="39">
        <f>0</f>
        <v>0</v>
      </c>
      <c r="E39" s="39">
        <f>0</f>
        <v>0</v>
      </c>
      <c r="F39" s="39">
        <f>0</f>
        <v>0</v>
      </c>
      <c r="G39" s="39">
        <f>0</f>
        <v>0</v>
      </c>
      <c r="H39" s="39">
        <f>0</f>
        <v>0</v>
      </c>
      <c r="I39" s="39">
        <f>0</f>
        <v>0</v>
      </c>
      <c r="J39" s="39">
        <f>0</f>
        <v>0</v>
      </c>
      <c r="K39" s="39">
        <f>0</f>
        <v>0</v>
      </c>
      <c r="L39" s="39">
        <f>0</f>
        <v>0</v>
      </c>
      <c r="M39" s="39">
        <f>0</f>
        <v>0</v>
      </c>
      <c r="N39" s="39">
        <f>0</f>
        <v>0</v>
      </c>
      <c r="O39" s="39">
        <f>0</f>
        <v>0</v>
      </c>
      <c r="P39" s="39">
        <f>0</f>
        <v>0</v>
      </c>
      <c r="Q39" s="39">
        <f>0</f>
        <v>0</v>
      </c>
      <c r="R39" s="40">
        <f t="shared" si="7"/>
        <v>0</v>
      </c>
    </row>
    <row r="40" spans="2:18" x14ac:dyDescent="0.2">
      <c r="B40" s="38" t="s">
        <v>159</v>
      </c>
      <c r="C40" s="39">
        <f>-CALIFICACION!$C$10*(1-PARAMETROS!$C$34)*IF(C$6=PARAMETROS!$C$36,PARAMETROS!$C$35,IF(C$6=PARAMETROS!$C$38,PARAMETROS!$C$37,0))</f>
        <v>0</v>
      </c>
      <c r="D40" s="39">
        <f>-CALIFICACION!$C$10*(1-PARAMETROS!$C$34)*IF(D$6=PARAMETROS!$C$36,PARAMETROS!$C$35,IF(D$6=PARAMETROS!$C$38,PARAMETROS!$C$37,0))</f>
        <v>0</v>
      </c>
      <c r="E40" s="39">
        <f>-CALIFICACION!$C$10*(1-PARAMETROS!$C$34)*IF(E$6=PARAMETROS!$C$36,PARAMETROS!$C$35,IF(E$6=PARAMETROS!$C$38,PARAMETROS!$C$37,0))</f>
        <v>-784751340.63750017</v>
      </c>
      <c r="F40" s="39">
        <f>-CALIFICACION!$C$10*(1-PARAMETROS!$C$34)*IF(F$6=PARAMETROS!$C$36,PARAMETROS!$C$35,IF(F$6=PARAMETROS!$C$38,PARAMETROS!$C$37,0))</f>
        <v>0</v>
      </c>
      <c r="G40" s="39">
        <f>-CALIFICACION!$C$10*(1-PARAMETROS!$C$34)*IF(G$6=PARAMETROS!$C$36,PARAMETROS!$C$35,IF(G$6=PARAMETROS!$C$38,PARAMETROS!$C$37,0))</f>
        <v>-784751340.63750017</v>
      </c>
      <c r="H40" s="39">
        <f>-CALIFICACION!$C$10*(1-PARAMETROS!$C$34)*IF(H$6=PARAMETROS!$C$36,PARAMETROS!$C$35,IF(H$6=PARAMETROS!$C$38,PARAMETROS!$C$37,0))</f>
        <v>0</v>
      </c>
      <c r="I40" s="39">
        <f>-CALIFICACION!$C$10*(1-PARAMETROS!$C$34)*IF(I$6=PARAMETROS!$C$36,PARAMETROS!$C$35,IF(I$6=PARAMETROS!$C$38,PARAMETROS!$C$37,0))</f>
        <v>0</v>
      </c>
      <c r="J40" s="39">
        <f>-CALIFICACION!$C$10*(1-PARAMETROS!$C$34)*IF(J$6=PARAMETROS!$C$36,PARAMETROS!$C$35,IF(J$6=PARAMETROS!$C$38,PARAMETROS!$C$37,0))</f>
        <v>0</v>
      </c>
      <c r="K40" s="39">
        <f>-CALIFICACION!$C$10*(1-PARAMETROS!$C$34)*IF(K$6=PARAMETROS!$C$36,PARAMETROS!$C$35,IF(K$6=PARAMETROS!$C$38,PARAMETROS!$C$37,0))</f>
        <v>0</v>
      </c>
      <c r="L40" s="39">
        <f>-CALIFICACION!$C$10*(1-PARAMETROS!$C$34)*IF(L$6=PARAMETROS!$C$36,PARAMETROS!$C$35,IF(L$6=PARAMETROS!$C$38,PARAMETROS!$C$37,0))</f>
        <v>0</v>
      </c>
      <c r="M40" s="39">
        <f>-CALIFICACION!$C$10*(1-PARAMETROS!$C$34)*IF(M$6=PARAMETROS!$C$36,PARAMETROS!$C$35,IF(M$6=PARAMETROS!$C$38,PARAMETROS!$C$37,0))</f>
        <v>0</v>
      </c>
      <c r="N40" s="39">
        <f>-CALIFICACION!$C$10*(1-PARAMETROS!$C$34)*IF(N$6=PARAMETROS!$C$36,PARAMETROS!$C$35,IF(N$6=PARAMETROS!$C$38,PARAMETROS!$C$37,0))</f>
        <v>0</v>
      </c>
      <c r="O40" s="39">
        <f>-CALIFICACION!$C$10*(1-PARAMETROS!$C$34)*IF(O$6=PARAMETROS!$C$36,PARAMETROS!$C$35,IF(O$6=PARAMETROS!$C$38,PARAMETROS!$C$37,0))</f>
        <v>0</v>
      </c>
      <c r="P40" s="39">
        <f>-CALIFICACION!$C$10*(1-PARAMETROS!$C$34)*IF(P$6=PARAMETROS!$C$36,PARAMETROS!$C$35,IF(P$6=PARAMETROS!$C$38,PARAMETROS!$C$37,0))</f>
        <v>0</v>
      </c>
      <c r="Q40" s="39">
        <f>-CALIFICACION!$C$10*(1-PARAMETROS!$C$34)*IF(Q$6=PARAMETROS!$C$36,PARAMETROS!$C$35,IF(Q$6=PARAMETROS!$C$38,PARAMETROS!$C$37,0))</f>
        <v>0</v>
      </c>
      <c r="R40" s="40">
        <f t="shared" si="7"/>
        <v>-1569502681.2750003</v>
      </c>
    </row>
    <row r="41" spans="2:18" x14ac:dyDescent="0.2">
      <c r="B41" s="38" t="s">
        <v>160</v>
      </c>
      <c r="C41" s="39">
        <f>-IF(AND(C$6&gt;=PARAMETROS!$C$45,C$6&lt;=PARAMETROS!$C$45+PARAMETROS!$C$46-1),PARAMETROS!$C$47,0)</f>
        <v>0</v>
      </c>
      <c r="D41" s="39">
        <f>-IF(AND(D$6&gt;=PARAMETROS!$C$45,D$6&lt;=PARAMETROS!$C$45+PARAMETROS!$C$46-1),PARAMETROS!$C$47,0)</f>
        <v>0</v>
      </c>
      <c r="E41" s="39">
        <f>-IF(AND(E$6&gt;=PARAMETROS!$C$45,E$6&lt;=PARAMETROS!$C$45+PARAMETROS!$C$46-1),PARAMETROS!$C$47,0)</f>
        <v>0</v>
      </c>
      <c r="F41" s="39">
        <f>-IF(AND(F$6&gt;=PARAMETROS!$C$45,F$6&lt;=PARAMETROS!$C$45+PARAMETROS!$C$46-1),PARAMETROS!$C$47,0)</f>
        <v>0</v>
      </c>
      <c r="G41" s="39">
        <f>-IF(AND(G$6&gt;=PARAMETROS!$C$45,G$6&lt;=PARAMETROS!$C$45+PARAMETROS!$C$46-1),PARAMETROS!$C$47,0)</f>
        <v>0</v>
      </c>
      <c r="H41" s="39"/>
      <c r="I41" s="39"/>
      <c r="J41" s="39"/>
      <c r="K41" s="39">
        <v>-1806518177</v>
      </c>
      <c r="L41" s="39">
        <v>-1806518177</v>
      </c>
      <c r="M41" s="39">
        <v>-1806518177</v>
      </c>
      <c r="N41" s="39">
        <v>-1806518177</v>
      </c>
      <c r="O41" s="39">
        <v>-1806518177</v>
      </c>
      <c r="P41" s="39">
        <v>-1806518177</v>
      </c>
      <c r="Q41" s="39">
        <v>-1806518177</v>
      </c>
      <c r="R41" s="40">
        <f t="shared" si="7"/>
        <v>-12645627239</v>
      </c>
    </row>
    <row r="42" spans="2:18" x14ac:dyDescent="0.2">
      <c r="B42" s="41" t="s">
        <v>161</v>
      </c>
      <c r="C42" s="37">
        <f t="shared" ref="C42:Q42" si="8">SUM(C36:C41)</f>
        <v>-2515379139.6700001</v>
      </c>
      <c r="D42" s="37">
        <f t="shared" si="8"/>
        <v>0</v>
      </c>
      <c r="E42" s="37">
        <f t="shared" si="8"/>
        <v>-784751340.63750017</v>
      </c>
      <c r="F42" s="37">
        <f t="shared" si="8"/>
        <v>0</v>
      </c>
      <c r="G42" s="37">
        <f t="shared" si="8"/>
        <v>-784751340.63750017</v>
      </c>
      <c r="H42" s="37">
        <f t="shared" si="8"/>
        <v>0</v>
      </c>
      <c r="I42" s="37">
        <f t="shared" si="8"/>
        <v>0</v>
      </c>
      <c r="J42" s="37">
        <f t="shared" si="8"/>
        <v>0</v>
      </c>
      <c r="K42" s="37">
        <f t="shared" si="8"/>
        <v>-1806518177</v>
      </c>
      <c r="L42" s="37">
        <f t="shared" si="8"/>
        <v>-1806518177</v>
      </c>
      <c r="M42" s="37">
        <f t="shared" si="8"/>
        <v>-1806518177</v>
      </c>
      <c r="N42" s="37">
        <f t="shared" si="8"/>
        <v>-1806518177</v>
      </c>
      <c r="O42" s="37">
        <f t="shared" si="8"/>
        <v>-1806518177</v>
      </c>
      <c r="P42" s="37">
        <f t="shared" si="8"/>
        <v>-1806518177</v>
      </c>
      <c r="Q42" s="37">
        <f t="shared" si="8"/>
        <v>-1806518177</v>
      </c>
      <c r="R42" s="37">
        <f t="shared" si="7"/>
        <v>-16730509059.945</v>
      </c>
    </row>
    <row r="44" spans="2:18" x14ac:dyDescent="0.2">
      <c r="B44" s="42" t="s">
        <v>162</v>
      </c>
      <c r="C44" s="43">
        <f t="shared" ref="C44:Q44" si="9">C33+C42</f>
        <v>2360537687.8500004</v>
      </c>
      <c r="D44" s="43">
        <f t="shared" si="9"/>
        <v>-2373524804.8500004</v>
      </c>
      <c r="E44" s="43">
        <f t="shared" si="9"/>
        <v>0</v>
      </c>
      <c r="F44" s="43">
        <f t="shared" si="9"/>
        <v>436260116.54291469</v>
      </c>
      <c r="G44" s="43">
        <f t="shared" si="9"/>
        <v>-331040819.43286884</v>
      </c>
      <c r="H44" s="43">
        <f t="shared" si="9"/>
        <v>471858942.05281651</v>
      </c>
      <c r="I44" s="43">
        <f t="shared" si="9"/>
        <v>490733299.73492914</v>
      </c>
      <c r="J44" s="43">
        <f t="shared" si="9"/>
        <v>510362631.72432643</v>
      </c>
      <c r="K44" s="43">
        <f t="shared" si="9"/>
        <v>-1275741040.0067005</v>
      </c>
      <c r="L44" s="43">
        <f t="shared" si="9"/>
        <v>-302433130.61541724</v>
      </c>
      <c r="M44" s="43">
        <f t="shared" si="9"/>
        <v>0</v>
      </c>
      <c r="N44" s="43">
        <f t="shared" si="9"/>
        <v>0</v>
      </c>
      <c r="O44" s="43">
        <f t="shared" si="9"/>
        <v>0</v>
      </c>
      <c r="P44" s="43">
        <f t="shared" si="9"/>
        <v>0</v>
      </c>
      <c r="Q44" s="43">
        <f t="shared" si="9"/>
        <v>0</v>
      </c>
      <c r="R44" s="43">
        <f>SUM(C44:Q44)</f>
        <v>-12987117</v>
      </c>
    </row>
    <row r="45" spans="2:18" x14ac:dyDescent="0.2">
      <c r="B45" s="13" t="s">
        <v>163</v>
      </c>
      <c r="C45" s="37">
        <f t="shared" ref="C45:Q45" si="10">C10+C44</f>
        <v>2373524804.8500004</v>
      </c>
      <c r="D45" s="37">
        <f t="shared" si="10"/>
        <v>0</v>
      </c>
      <c r="E45" s="37">
        <f t="shared" si="10"/>
        <v>0</v>
      </c>
      <c r="F45" s="37">
        <f t="shared" si="10"/>
        <v>436260116.54291469</v>
      </c>
      <c r="G45" s="37">
        <f t="shared" si="10"/>
        <v>105219297.11004585</v>
      </c>
      <c r="H45" s="37">
        <f t="shared" si="10"/>
        <v>577078239.1628623</v>
      </c>
      <c r="I45" s="37">
        <f t="shared" si="10"/>
        <v>1067811538.8977914</v>
      </c>
      <c r="J45" s="37">
        <f t="shared" si="10"/>
        <v>1578174170.6221178</v>
      </c>
      <c r="K45" s="37">
        <f t="shared" si="10"/>
        <v>302433130.61541724</v>
      </c>
      <c r="L45" s="37">
        <f t="shared" si="10"/>
        <v>0</v>
      </c>
      <c r="M45" s="37">
        <f t="shared" si="10"/>
        <v>0</v>
      </c>
      <c r="N45" s="37">
        <f t="shared" si="10"/>
        <v>0</v>
      </c>
      <c r="O45" s="37">
        <f t="shared" si="10"/>
        <v>0</v>
      </c>
      <c r="P45" s="37">
        <f t="shared" si="10"/>
        <v>0</v>
      </c>
      <c r="Q45" s="37">
        <f t="shared" si="10"/>
        <v>0</v>
      </c>
      <c r="R45" s="37">
        <f>Q45</f>
        <v>0</v>
      </c>
    </row>
    <row r="47" spans="2:18" x14ac:dyDescent="0.2">
      <c r="B47" s="19" t="s">
        <v>164</v>
      </c>
      <c r="C47" s="20"/>
      <c r="D47" s="20"/>
      <c r="E47" s="20"/>
      <c r="F47" s="20"/>
      <c r="G47" s="20"/>
      <c r="H47" s="20"/>
      <c r="I47" s="20"/>
      <c r="J47" s="20"/>
      <c r="K47" s="20"/>
      <c r="L47" s="20"/>
      <c r="M47" s="20"/>
      <c r="N47" s="20"/>
      <c r="O47" s="20"/>
      <c r="P47" s="20"/>
      <c r="Q47" s="20"/>
      <c r="R47" s="20"/>
    </row>
    <row r="48" spans="2:18" x14ac:dyDescent="0.2">
      <c r="B48" s="45" t="s">
        <v>108</v>
      </c>
      <c r="C48" s="46">
        <f>IF(C$6=PARAMETROS!$C$18,CALIFICACION!$C$9,0)</f>
        <v>9115274391.3999996</v>
      </c>
      <c r="D48" s="46">
        <f>IF(D$6=PARAMETROS!$C$18,CALIFICACION!$C$9,0)</f>
        <v>0</v>
      </c>
      <c r="E48" s="46">
        <f>IF(E$6=PARAMETROS!$C$18,CALIFICACION!$C$9,0)</f>
        <v>0</v>
      </c>
      <c r="F48" s="46">
        <f>IF(F$6=PARAMETROS!$C$18,CALIFICACION!$C$9,0)</f>
        <v>0</v>
      </c>
      <c r="G48" s="46">
        <f>IF(G$6=PARAMETROS!$C$18,CALIFICACION!$C$9,0)</f>
        <v>0</v>
      </c>
      <c r="H48" s="46">
        <f>IF(H$6=PARAMETROS!$C$18,CALIFICACION!$C$9,0)</f>
        <v>0</v>
      </c>
      <c r="I48" s="46">
        <f>IF(I$6=PARAMETROS!$C$18,CALIFICACION!$C$9,0)</f>
        <v>0</v>
      </c>
      <c r="J48" s="46">
        <f>IF(J$6=PARAMETROS!$C$18,CALIFICACION!$C$9,0)</f>
        <v>0</v>
      </c>
      <c r="K48" s="46">
        <f>IF(K$6=PARAMETROS!$C$18,CALIFICACION!$C$9,0)</f>
        <v>0</v>
      </c>
      <c r="L48" s="46">
        <f>IF(L$6=PARAMETROS!$C$18,CALIFICACION!$C$9,0)</f>
        <v>0</v>
      </c>
      <c r="M48" s="46">
        <f>IF(M$6=PARAMETROS!$C$18,CALIFICACION!$C$9,0)</f>
        <v>0</v>
      </c>
      <c r="N48" s="46">
        <f>IF(N$6=PARAMETROS!$C$18,CALIFICACION!$C$9,0)</f>
        <v>0</v>
      </c>
      <c r="O48" s="46">
        <f>IF(O$6=PARAMETROS!$C$18,CALIFICACION!$C$9,0)</f>
        <v>0</v>
      </c>
      <c r="P48" s="46">
        <f>IF(P$6=PARAMETROS!$C$18,CALIFICACION!$C$9,0)</f>
        <v>0</v>
      </c>
      <c r="Q48" s="46">
        <f>IF(Q$6=PARAMETROS!$C$18,CALIFICACION!$C$9,0)</f>
        <v>0</v>
      </c>
      <c r="R48" s="47">
        <f t="shared" ref="R48:R54" si="11">SUM(C48:Q48)</f>
        <v>9115274391.3999996</v>
      </c>
    </row>
    <row r="49" spans="2:18" x14ac:dyDescent="0.2">
      <c r="B49" s="45" t="s">
        <v>94</v>
      </c>
      <c r="C49" s="46">
        <f>IF(C$6=PARAMETROS!$C$18,PARAMETROS!$C$41,0)</f>
        <v>4000000000</v>
      </c>
      <c r="D49" s="46">
        <f>IF(D$6=PARAMETROS!$C$18,PARAMETROS!$C$41,0)</f>
        <v>0</v>
      </c>
      <c r="E49" s="46">
        <f>IF(E$6=PARAMETROS!$C$18,PARAMETROS!$C$41,0)</f>
        <v>0</v>
      </c>
      <c r="F49" s="46">
        <f>IF(F$6=PARAMETROS!$C$18,PARAMETROS!$C$41,0)</f>
        <v>0</v>
      </c>
      <c r="G49" s="46">
        <f>IF(G$6=PARAMETROS!$C$18,PARAMETROS!$C$41,0)</f>
        <v>0</v>
      </c>
      <c r="H49" s="46">
        <f>IF(H$6=PARAMETROS!$C$18,PARAMETROS!$C$41,0)</f>
        <v>0</v>
      </c>
      <c r="I49" s="46">
        <f>IF(I$6=PARAMETROS!$C$18,PARAMETROS!$C$41,0)</f>
        <v>0</v>
      </c>
      <c r="J49" s="46">
        <f>IF(J$6=PARAMETROS!$C$18,PARAMETROS!$C$41,0)</f>
        <v>0</v>
      </c>
      <c r="K49" s="46">
        <f>IF(K$6=PARAMETROS!$C$18,PARAMETROS!$C$41,0)</f>
        <v>0</v>
      </c>
      <c r="L49" s="46">
        <f>IF(L$6=PARAMETROS!$C$18,PARAMETROS!$C$41,0)</f>
        <v>0</v>
      </c>
      <c r="M49" s="46">
        <f>IF(M$6=PARAMETROS!$C$18,PARAMETROS!$C$41,0)</f>
        <v>0</v>
      </c>
      <c r="N49" s="46">
        <f>IF(N$6=PARAMETROS!$C$18,PARAMETROS!$C$41,0)</f>
        <v>0</v>
      </c>
      <c r="O49" s="46">
        <f>IF(O$6=PARAMETROS!$C$18,PARAMETROS!$C$41,0)</f>
        <v>0</v>
      </c>
      <c r="P49" s="46">
        <f>IF(P$6=PARAMETROS!$C$18,PARAMETROS!$C$41,0)</f>
        <v>0</v>
      </c>
      <c r="Q49" s="46">
        <f>IF(Q$6=PARAMETROS!$C$18,PARAMETROS!$C$41,0)</f>
        <v>0</v>
      </c>
      <c r="R49" s="47">
        <f t="shared" si="11"/>
        <v>4000000000</v>
      </c>
    </row>
    <row r="50" spans="2:18" x14ac:dyDescent="0.2">
      <c r="B50" s="45" t="s">
        <v>96</v>
      </c>
      <c r="C50" s="46">
        <f>IF(C$6=PARAMETROS!$C$18,PARAMETROS!$C$42,0)</f>
        <v>23007000000</v>
      </c>
      <c r="D50" s="46">
        <f>IF(D$6=PARAMETROS!$C$18,PARAMETROS!$C$42,0)</f>
        <v>0</v>
      </c>
      <c r="E50" s="46">
        <f>IF(E$6=PARAMETROS!$C$18,PARAMETROS!$C$42,0)</f>
        <v>0</v>
      </c>
      <c r="F50" s="46">
        <f>IF(F$6=PARAMETROS!$C$18,PARAMETROS!$C$42,0)</f>
        <v>0</v>
      </c>
      <c r="G50" s="46">
        <f>IF(G$6=PARAMETROS!$C$18,PARAMETROS!$C$42,0)</f>
        <v>0</v>
      </c>
      <c r="H50" s="46">
        <f>IF(H$6=PARAMETROS!$C$18,PARAMETROS!$C$42,0)</f>
        <v>0</v>
      </c>
      <c r="I50" s="46">
        <f>IF(I$6=PARAMETROS!$C$18,PARAMETROS!$C$42,0)</f>
        <v>0</v>
      </c>
      <c r="J50" s="46">
        <f>IF(J$6=PARAMETROS!$C$18,PARAMETROS!$C$42,0)</f>
        <v>0</v>
      </c>
      <c r="K50" s="46">
        <f>IF(K$6=PARAMETROS!$C$18,PARAMETROS!$C$42,0)</f>
        <v>0</v>
      </c>
      <c r="L50" s="46">
        <f>IF(L$6=PARAMETROS!$C$18,PARAMETROS!$C$42,0)</f>
        <v>0</v>
      </c>
      <c r="M50" s="46">
        <f>IF(M$6=PARAMETROS!$C$18,PARAMETROS!$C$42,0)</f>
        <v>0</v>
      </c>
      <c r="N50" s="46">
        <f>IF(N$6=PARAMETROS!$C$18,PARAMETROS!$C$42,0)</f>
        <v>0</v>
      </c>
      <c r="O50" s="46">
        <f>IF(O$6=PARAMETROS!$C$18,PARAMETROS!$C$42,0)</f>
        <v>0</v>
      </c>
      <c r="P50" s="46">
        <f>IF(P$6=PARAMETROS!$C$18,PARAMETROS!$C$42,0)</f>
        <v>0</v>
      </c>
      <c r="Q50" s="46">
        <f>IF(Q$6=PARAMETROS!$C$18,PARAMETROS!$C$42,0)</f>
        <v>0</v>
      </c>
      <c r="R50" s="47">
        <f t="shared" si="11"/>
        <v>23007000000</v>
      </c>
    </row>
    <row r="51" spans="2:18" x14ac:dyDescent="0.2">
      <c r="B51" s="45" t="s">
        <v>165</v>
      </c>
      <c r="C51" s="46">
        <f>CALIFICACION!$C$10*PARAMETROS!$C$34*IF(C$6=PARAMETROS!$C$36,PARAMETROS!$C$35,IF(C$6=PARAMETROS!$C$38,PARAMETROS!$C$37,0))</f>
        <v>0</v>
      </c>
      <c r="D51" s="46">
        <f>CALIFICACION!$C$10*PARAMETROS!$C$34*IF(D$6=PARAMETROS!$C$36,PARAMETROS!$C$35,IF(D$6=PARAMETROS!$C$38,PARAMETROS!$C$37,0))</f>
        <v>0</v>
      </c>
      <c r="E51" s="46">
        <f>CALIFICACION!$C$10*PARAMETROS!$C$34*IF(E$6=PARAMETROS!$C$36,PARAMETROS!$C$35,IF(E$6=PARAMETROS!$C$38,PARAMETROS!$C$37,0))</f>
        <v>1831086461.4875</v>
      </c>
      <c r="F51" s="46">
        <f>CALIFICACION!$C$10*PARAMETROS!$C$34*IF(F$6=PARAMETROS!$C$36,PARAMETROS!$C$35,IF(F$6=PARAMETROS!$C$38,PARAMETROS!$C$37,0))</f>
        <v>0</v>
      </c>
      <c r="G51" s="46">
        <f>CALIFICACION!$C$10*PARAMETROS!$C$34*IF(G$6=PARAMETROS!$C$36,PARAMETROS!$C$35,IF(G$6=PARAMETROS!$C$38,PARAMETROS!$C$37,0))</f>
        <v>1831086461.4875</v>
      </c>
      <c r="H51" s="46">
        <f>CALIFICACION!$C$10*PARAMETROS!$C$34*IF(H$6=PARAMETROS!$C$36,PARAMETROS!$C$35,IF(H$6=PARAMETROS!$C$38,PARAMETROS!$C$37,0))</f>
        <v>0</v>
      </c>
      <c r="I51" s="46">
        <f>CALIFICACION!$C$10*PARAMETROS!$C$34*IF(I$6=PARAMETROS!$C$36,PARAMETROS!$C$35,IF(I$6=PARAMETROS!$C$38,PARAMETROS!$C$37,0))</f>
        <v>0</v>
      </c>
      <c r="J51" s="46">
        <f>CALIFICACION!$C$10*PARAMETROS!$C$34*IF(J$6=PARAMETROS!$C$36,PARAMETROS!$C$35,IF(J$6=PARAMETROS!$C$38,PARAMETROS!$C$37,0))</f>
        <v>0</v>
      </c>
      <c r="K51" s="46">
        <f>CALIFICACION!$C$10*PARAMETROS!$C$34*IF(K$6=PARAMETROS!$C$36,PARAMETROS!$C$35,IF(K$6=PARAMETROS!$C$38,PARAMETROS!$C$37,0))</f>
        <v>0</v>
      </c>
      <c r="L51" s="46">
        <f>CALIFICACION!$C$10*PARAMETROS!$C$34*IF(L$6=PARAMETROS!$C$36,PARAMETROS!$C$35,IF(L$6=PARAMETROS!$C$38,PARAMETROS!$C$37,0))</f>
        <v>0</v>
      </c>
      <c r="M51" s="46">
        <f>CALIFICACION!$C$10*PARAMETROS!$C$34*IF(M$6=PARAMETROS!$C$36,PARAMETROS!$C$35,IF(M$6=PARAMETROS!$C$38,PARAMETROS!$C$37,0))</f>
        <v>0</v>
      </c>
      <c r="N51" s="46">
        <f>CALIFICACION!$C$10*PARAMETROS!$C$34*IF(N$6=PARAMETROS!$C$36,PARAMETROS!$C$35,IF(N$6=PARAMETROS!$C$38,PARAMETROS!$C$37,0))</f>
        <v>0</v>
      </c>
      <c r="O51" s="46">
        <f>CALIFICACION!$C$10*PARAMETROS!$C$34*IF(O$6=PARAMETROS!$C$36,PARAMETROS!$C$35,IF(O$6=PARAMETROS!$C$38,PARAMETROS!$C$37,0))</f>
        <v>0</v>
      </c>
      <c r="P51" s="46">
        <f>CALIFICACION!$C$10*PARAMETROS!$C$34*IF(P$6=PARAMETROS!$C$36,PARAMETROS!$C$35,IF(P$6=PARAMETROS!$C$38,PARAMETROS!$C$37,0))</f>
        <v>0</v>
      </c>
      <c r="Q51" s="46">
        <f>CALIFICACION!$C$10*PARAMETROS!$C$34*IF(Q$6=PARAMETROS!$C$36,PARAMETROS!$C$35,IF(Q$6=PARAMETROS!$C$38,PARAMETROS!$C$37,0))</f>
        <v>0</v>
      </c>
      <c r="R51" s="47">
        <f t="shared" si="11"/>
        <v>3662172922.9749999</v>
      </c>
    </row>
    <row r="52" spans="2:18" x14ac:dyDescent="0.2">
      <c r="B52" s="41" t="s">
        <v>166</v>
      </c>
      <c r="C52" s="37">
        <f t="shared" ref="C52:Q52" si="12">SUM(C48:C51)</f>
        <v>36122274391.400002</v>
      </c>
      <c r="D52" s="37">
        <f t="shared" si="12"/>
        <v>0</v>
      </c>
      <c r="E52" s="37">
        <f t="shared" si="12"/>
        <v>1831086461.4875</v>
      </c>
      <c r="F52" s="37">
        <f t="shared" si="12"/>
        <v>0</v>
      </c>
      <c r="G52" s="37">
        <f t="shared" si="12"/>
        <v>1831086461.4875</v>
      </c>
      <c r="H52" s="37">
        <f t="shared" si="12"/>
        <v>0</v>
      </c>
      <c r="I52" s="37">
        <f t="shared" si="12"/>
        <v>0</v>
      </c>
      <c r="J52" s="37">
        <f t="shared" si="12"/>
        <v>0</v>
      </c>
      <c r="K52" s="37">
        <f t="shared" si="12"/>
        <v>0</v>
      </c>
      <c r="L52" s="37">
        <f t="shared" si="12"/>
        <v>0</v>
      </c>
      <c r="M52" s="37">
        <f t="shared" si="12"/>
        <v>0</v>
      </c>
      <c r="N52" s="37">
        <f t="shared" si="12"/>
        <v>0</v>
      </c>
      <c r="O52" s="37">
        <f t="shared" si="12"/>
        <v>0</v>
      </c>
      <c r="P52" s="37">
        <f t="shared" si="12"/>
        <v>0</v>
      </c>
      <c r="Q52" s="37">
        <f t="shared" si="12"/>
        <v>0</v>
      </c>
      <c r="R52" s="37">
        <f t="shared" si="11"/>
        <v>39784447314.375008</v>
      </c>
    </row>
    <row r="53" spans="2:18" x14ac:dyDescent="0.2">
      <c r="B53" s="45" t="s">
        <v>167</v>
      </c>
      <c r="C53" s="46">
        <f>IF(C$6=PARAMETROS!$C$18,PARAMETROS!$C$43,0)</f>
        <v>5000000000</v>
      </c>
      <c r="D53" s="46">
        <f>IF(D$6=PARAMETROS!$C$18,PARAMETROS!$C$43,0)</f>
        <v>0</v>
      </c>
      <c r="E53" s="46">
        <f>IF(E$6=PARAMETROS!$C$18,PARAMETROS!$C$43,0)</f>
        <v>0</v>
      </c>
      <c r="F53" s="46">
        <f>IF(F$6=PARAMETROS!$C$18,PARAMETROS!$C$43,0)</f>
        <v>0</v>
      </c>
      <c r="G53" s="46">
        <f>IF(G$6=PARAMETROS!$C$18,PARAMETROS!$C$43,0)</f>
        <v>0</v>
      </c>
      <c r="H53" s="46">
        <f>IF(H$6=PARAMETROS!$C$18,PARAMETROS!$C$43,0)</f>
        <v>0</v>
      </c>
      <c r="I53" s="46">
        <f>IF(I$6=PARAMETROS!$C$18,PARAMETROS!$C$43,0)</f>
        <v>0</v>
      </c>
      <c r="J53" s="46">
        <f>IF(J$6=PARAMETROS!$C$18,PARAMETROS!$C$43,0)</f>
        <v>0</v>
      </c>
      <c r="K53" s="46">
        <f>IF(K$6=PARAMETROS!$C$18,PARAMETROS!$C$43,0)</f>
        <v>0</v>
      </c>
      <c r="L53" s="46">
        <f>IF(L$6=PARAMETROS!$C$18,PARAMETROS!$C$43,0)</f>
        <v>0</v>
      </c>
      <c r="M53" s="46">
        <f>IF(M$6=PARAMETROS!$C$18,PARAMETROS!$C$43,0)</f>
        <v>0</v>
      </c>
      <c r="N53" s="46">
        <f>IF(N$6=PARAMETROS!$C$18,PARAMETROS!$C$43,0)</f>
        <v>0</v>
      </c>
      <c r="O53" s="46">
        <f>IF(O$6=PARAMETROS!$C$18,PARAMETROS!$C$43,0)</f>
        <v>0</v>
      </c>
      <c r="P53" s="46">
        <f>IF(P$6=PARAMETROS!$C$18,PARAMETROS!$C$43,0)</f>
        <v>0</v>
      </c>
      <c r="Q53" s="46">
        <f>IF(Q$6=PARAMETROS!$C$18,PARAMETROS!$C$43,0)</f>
        <v>0</v>
      </c>
      <c r="R53" s="47">
        <f t="shared" si="11"/>
        <v>5000000000</v>
      </c>
    </row>
    <row r="54" spans="2:18" x14ac:dyDescent="0.2">
      <c r="B54" s="41" t="s">
        <v>168</v>
      </c>
      <c r="C54" s="37">
        <f t="shared" ref="C54:Q54" si="13">C52+C53</f>
        <v>41122274391.400002</v>
      </c>
      <c r="D54" s="37">
        <f t="shared" si="13"/>
        <v>0</v>
      </c>
      <c r="E54" s="37">
        <f t="shared" si="13"/>
        <v>1831086461.4875</v>
      </c>
      <c r="F54" s="37">
        <f t="shared" si="13"/>
        <v>0</v>
      </c>
      <c r="G54" s="37">
        <f t="shared" si="13"/>
        <v>1831086461.4875</v>
      </c>
      <c r="H54" s="37">
        <f t="shared" si="13"/>
        <v>0</v>
      </c>
      <c r="I54" s="37">
        <f t="shared" si="13"/>
        <v>0</v>
      </c>
      <c r="J54" s="37">
        <f t="shared" si="13"/>
        <v>0</v>
      </c>
      <c r="K54" s="37">
        <f t="shared" si="13"/>
        <v>0</v>
      </c>
      <c r="L54" s="37">
        <f t="shared" si="13"/>
        <v>0</v>
      </c>
      <c r="M54" s="37">
        <f t="shared" si="13"/>
        <v>0</v>
      </c>
      <c r="N54" s="37">
        <f t="shared" si="13"/>
        <v>0</v>
      </c>
      <c r="O54" s="37">
        <f t="shared" si="13"/>
        <v>0</v>
      </c>
      <c r="P54" s="37">
        <f t="shared" si="13"/>
        <v>0</v>
      </c>
      <c r="Q54" s="37">
        <f t="shared" si="13"/>
        <v>0</v>
      </c>
      <c r="R54" s="37">
        <f t="shared" si="11"/>
        <v>44784447314.375008</v>
      </c>
    </row>
    <row r="56" spans="2:18" x14ac:dyDescent="0.2">
      <c r="B56" s="19" t="s">
        <v>169</v>
      </c>
      <c r="C56" s="20"/>
      <c r="D56" s="20"/>
      <c r="E56" s="20"/>
      <c r="F56" s="20"/>
      <c r="G56" s="20"/>
      <c r="H56" s="20"/>
      <c r="I56" s="20"/>
      <c r="J56" s="20"/>
      <c r="K56" s="20"/>
      <c r="L56" s="20"/>
      <c r="M56" s="20"/>
      <c r="N56" s="20"/>
      <c r="O56" s="20"/>
      <c r="P56" s="20"/>
      <c r="Q56" s="20"/>
      <c r="R56" s="20"/>
    </row>
    <row r="57" spans="2:18" x14ac:dyDescent="0.2">
      <c r="B57" s="48" t="s">
        <v>170</v>
      </c>
      <c r="C57" s="26">
        <f>-C42</f>
        <v>2515379139.6700001</v>
      </c>
      <c r="D57" s="26">
        <f t="shared" ref="D57:Q57" si="14">C57-D42</f>
        <v>2515379139.6700001</v>
      </c>
      <c r="E57" s="26">
        <f t="shared" si="14"/>
        <v>3300130480.3075004</v>
      </c>
      <c r="F57" s="26">
        <f t="shared" si="14"/>
        <v>3300130480.3075004</v>
      </c>
      <c r="G57" s="26">
        <f t="shared" si="14"/>
        <v>4084881820.9450006</v>
      </c>
      <c r="H57" s="26">
        <f t="shared" si="14"/>
        <v>4084881820.9450006</v>
      </c>
      <c r="I57" s="26">
        <f t="shared" si="14"/>
        <v>4084881820.9450006</v>
      </c>
      <c r="J57" s="26">
        <f t="shared" si="14"/>
        <v>4084881820.9450006</v>
      </c>
      <c r="K57" s="26">
        <f t="shared" si="14"/>
        <v>5891399997.9450006</v>
      </c>
      <c r="L57" s="26">
        <f t="shared" si="14"/>
        <v>7697918174.9450006</v>
      </c>
      <c r="M57" s="26">
        <f t="shared" si="14"/>
        <v>9504436351.9449997</v>
      </c>
      <c r="N57" s="26">
        <f t="shared" si="14"/>
        <v>11310954528.945</v>
      </c>
      <c r="O57" s="26">
        <f t="shared" si="14"/>
        <v>13117472705.945</v>
      </c>
      <c r="P57" s="26">
        <f t="shared" si="14"/>
        <v>14923990882.945</v>
      </c>
      <c r="Q57" s="26">
        <f t="shared" si="14"/>
        <v>16730509059.945</v>
      </c>
      <c r="R57" s="18"/>
    </row>
    <row r="58" spans="2:18" x14ac:dyDescent="0.2">
      <c r="B58" s="48" t="s">
        <v>171</v>
      </c>
      <c r="C58" s="49">
        <f>C30</f>
        <v>0</v>
      </c>
      <c r="D58" s="49">
        <f t="shared" ref="D58:Q58" si="15">C58+D30</f>
        <v>448128193.90839958</v>
      </c>
      <c r="E58" s="49">
        <f t="shared" si="15"/>
        <v>813398653.25463581</v>
      </c>
      <c r="F58" s="49">
        <f t="shared" si="15"/>
        <v>813398653.25463581</v>
      </c>
      <c r="G58" s="49">
        <f t="shared" si="15"/>
        <v>813398653.25463581</v>
      </c>
      <c r="H58" s="49">
        <f t="shared" si="15"/>
        <v>813398653.25463581</v>
      </c>
      <c r="I58" s="49">
        <f t="shared" si="15"/>
        <v>813398653.25463581</v>
      </c>
      <c r="J58" s="49">
        <f t="shared" si="15"/>
        <v>813398653.25463581</v>
      </c>
      <c r="K58" s="49">
        <f t="shared" si="15"/>
        <v>813398653.25463581</v>
      </c>
      <c r="L58" s="49">
        <f t="shared" si="15"/>
        <v>1765475477.1661873</v>
      </c>
      <c r="M58" s="49">
        <f t="shared" si="15"/>
        <v>2997905102.7942348</v>
      </c>
      <c r="N58" s="49">
        <f t="shared" si="15"/>
        <v>4207371186.367404</v>
      </c>
      <c r="O58" s="49">
        <f t="shared" si="15"/>
        <v>5392955186.2034998</v>
      </c>
      <c r="P58" s="49">
        <f t="shared" si="15"/>
        <v>6553701818.9530392</v>
      </c>
      <c r="Q58" s="49">
        <f t="shared" si="15"/>
        <v>7688617589.93256</v>
      </c>
      <c r="R58" s="18"/>
    </row>
    <row r="59" spans="2:18" x14ac:dyDescent="0.2">
      <c r="B59" s="48" t="s">
        <v>172</v>
      </c>
      <c r="C59" s="8">
        <f>(C57+SUM($C$52:C52))/CALIFICACION!$C$12</f>
        <v>0.62810177890581032</v>
      </c>
      <c r="D59" s="8">
        <f>(D57+SUM($C$52:D52))/CALIFICACION!$C$12</f>
        <v>0.62810177890581032</v>
      </c>
      <c r="E59" s="8">
        <f>(E57+SUM($C$52:E52))/CALIFICACION!$C$12</f>
        <v>0.67062538545770856</v>
      </c>
      <c r="F59" s="8">
        <f>(F57+SUM($C$52:F52))/CALIFICACION!$C$12</f>
        <v>0.67062538545770856</v>
      </c>
      <c r="G59" s="8">
        <f>(G57+SUM($C$52:G52))/CALIFICACION!$C$12</f>
        <v>0.71314899200960669</v>
      </c>
      <c r="H59" s="8">
        <f>(H57+SUM($C$52:H52))/CALIFICACION!$C$12</f>
        <v>0.71314899200960669</v>
      </c>
      <c r="I59" s="8">
        <f>(I57+SUM($C$52:I52))/CALIFICACION!$C$12</f>
        <v>0.71314899200960669</v>
      </c>
      <c r="J59" s="8">
        <f>(J57+SUM($C$52:J52))/CALIFICACION!$C$12</f>
        <v>0.71314899200960669</v>
      </c>
      <c r="K59" s="8">
        <f>(K57+SUM($C$52:K52))/CALIFICACION!$C$12</f>
        <v>0.74251612942355305</v>
      </c>
      <c r="L59" s="8">
        <f>(L57+SUM($C$52:L52))/CALIFICACION!$C$12</f>
        <v>0.7718832668374993</v>
      </c>
      <c r="M59" s="8">
        <f>(M57+SUM($C$52:M52))/CALIFICACION!$C$12</f>
        <v>0.80125040425144567</v>
      </c>
      <c r="N59" s="8">
        <f>(N57+SUM($C$52:N52))/CALIFICACION!$C$12</f>
        <v>0.83061754166539203</v>
      </c>
      <c r="O59" s="8">
        <f>(O57+SUM($C$52:O52))/CALIFICACION!$C$12</f>
        <v>0.85998467907933829</v>
      </c>
      <c r="P59" s="8">
        <f>(P57+SUM($C$52:P52))/CALIFICACION!$C$12</f>
        <v>0.88935181649328465</v>
      </c>
      <c r="Q59" s="8">
        <f>(Q57+SUM($C$52:Q52))/CALIFICACION!$C$12</f>
        <v>0.91871895390723102</v>
      </c>
      <c r="R59" s="18"/>
    </row>
    <row r="60" spans="2:18" x14ac:dyDescent="0.2">
      <c r="B60" s="48" t="s">
        <v>173</v>
      </c>
      <c r="C60" s="50">
        <f>(C57+SUM($C$54:C54))/CALIFICACION!$C$12</f>
        <v>0.70938282491973681</v>
      </c>
      <c r="D60" s="50">
        <f>(D57+SUM($C$54:D54))/CALIFICACION!$C$12</f>
        <v>0.70938282491973681</v>
      </c>
      <c r="E60" s="50">
        <f>(E57+SUM($C$54:E54))/CALIFICACION!$C$12</f>
        <v>0.75190643147163505</v>
      </c>
      <c r="F60" s="50">
        <f>(F57+SUM($C$54:F54))/CALIFICACION!$C$12</f>
        <v>0.75190643147163505</v>
      </c>
      <c r="G60" s="50">
        <f>(G57+SUM($C$54:G54))/CALIFICACION!$C$12</f>
        <v>0.79443003802353318</v>
      </c>
      <c r="H60" s="50">
        <f>(H57+SUM($C$54:H54))/CALIFICACION!$C$12</f>
        <v>0.79443003802353318</v>
      </c>
      <c r="I60" s="50">
        <f>(I57+SUM($C$54:I54))/CALIFICACION!$C$12</f>
        <v>0.79443003802353318</v>
      </c>
      <c r="J60" s="50">
        <f>(J57+SUM($C$54:J54))/CALIFICACION!$C$12</f>
        <v>0.79443003802353318</v>
      </c>
      <c r="K60" s="50">
        <f>(K57+SUM($C$54:K54))/CALIFICACION!$C$12</f>
        <v>0.82379717543747955</v>
      </c>
      <c r="L60" s="50">
        <f>(L57+SUM($C$54:L54))/CALIFICACION!$C$12</f>
        <v>0.85316431285142591</v>
      </c>
      <c r="M60" s="50">
        <f>(M57+SUM($C$54:M54))/CALIFICACION!$C$12</f>
        <v>0.88253145026537216</v>
      </c>
      <c r="N60" s="50">
        <f>(N57+SUM($C$54:N54))/CALIFICACION!$C$12</f>
        <v>0.91189858767931853</v>
      </c>
      <c r="O60" s="50">
        <f>(O57+SUM($C$54:O54))/CALIFICACION!$C$12</f>
        <v>0.94126572509326489</v>
      </c>
      <c r="P60" s="50">
        <f>(P57+SUM($C$54:P54))/CALIFICACION!$C$12</f>
        <v>0.97063286250721115</v>
      </c>
      <c r="Q60" s="50">
        <f>(Q57+SUM($C$54:Q54))/CALIFICACION!$C$12</f>
        <v>0.99999999992115751</v>
      </c>
      <c r="R60" s="18"/>
    </row>
    <row r="61" spans="2:18" x14ac:dyDescent="0.2">
      <c r="B61" s="48" t="s">
        <v>174</v>
      </c>
      <c r="C61" s="26">
        <f>-SUM(C21:C23)</f>
        <v>1800000000</v>
      </c>
      <c r="D61" s="26">
        <f t="shared" ref="D61:Q61" si="16">C61-SUM(D21:D23)</f>
        <v>5025000000</v>
      </c>
      <c r="E61" s="26">
        <f t="shared" si="16"/>
        <v>5025000000</v>
      </c>
      <c r="F61" s="26">
        <f t="shared" si="16"/>
        <v>5025000000</v>
      </c>
      <c r="G61" s="26">
        <f t="shared" si="16"/>
        <v>5025000000</v>
      </c>
      <c r="H61" s="26">
        <f t="shared" si="16"/>
        <v>5025000000</v>
      </c>
      <c r="I61" s="26">
        <f t="shared" si="16"/>
        <v>5025000000</v>
      </c>
      <c r="J61" s="26">
        <f t="shared" si="16"/>
        <v>5025000000</v>
      </c>
      <c r="K61" s="26">
        <f t="shared" si="16"/>
        <v>5025000000</v>
      </c>
      <c r="L61" s="26">
        <f t="shared" si="16"/>
        <v>5025000000</v>
      </c>
      <c r="M61" s="26">
        <f t="shared" si="16"/>
        <v>5025000000</v>
      </c>
      <c r="N61" s="26">
        <f t="shared" si="16"/>
        <v>5025000000</v>
      </c>
      <c r="O61" s="26">
        <f t="shared" si="16"/>
        <v>5025000000</v>
      </c>
      <c r="P61" s="26">
        <f t="shared" si="16"/>
        <v>5025000000</v>
      </c>
      <c r="Q61" s="26">
        <f t="shared" si="16"/>
        <v>5025000000</v>
      </c>
      <c r="R61" s="18"/>
    </row>
    <row r="64" spans="2:18" ht="39.75" customHeight="1" x14ac:dyDescent="0.2">
      <c r="B64" s="58" t="s">
        <v>175</v>
      </c>
      <c r="C64" s="58"/>
      <c r="D64" s="58"/>
      <c r="E64" s="58"/>
      <c r="F64" s="58"/>
      <c r="G64" s="58"/>
      <c r="H64" s="58"/>
    </row>
    <row r="65" spans="2:8" ht="39.75" customHeight="1" x14ac:dyDescent="0.2">
      <c r="B65" s="58" t="s">
        <v>176</v>
      </c>
      <c r="C65" s="58"/>
      <c r="D65" s="58"/>
      <c r="E65" s="58"/>
      <c r="F65" s="58"/>
      <c r="G65" s="58"/>
      <c r="H65" s="58"/>
    </row>
    <row r="66" spans="2:8" ht="39.75" customHeight="1" x14ac:dyDescent="0.2">
      <c r="B66" s="58" t="s">
        <v>177</v>
      </c>
      <c r="C66" s="58"/>
      <c r="D66" s="58"/>
      <c r="E66" s="58"/>
      <c r="F66" s="58"/>
      <c r="G66" s="58"/>
      <c r="H66" s="58"/>
    </row>
    <row r="67" spans="2:8" ht="39.75" customHeight="1" x14ac:dyDescent="0.2">
      <c r="B67" s="58" t="s">
        <v>178</v>
      </c>
      <c r="C67" s="58"/>
      <c r="D67" s="58"/>
      <c r="E67" s="58"/>
      <c r="F67" s="58"/>
      <c r="G67" s="58"/>
      <c r="H67" s="58"/>
    </row>
    <row r="68" spans="2:8" ht="39.75" customHeight="1" x14ac:dyDescent="0.2">
      <c r="B68" s="58" t="s">
        <v>179</v>
      </c>
      <c r="C68" s="58"/>
      <c r="D68" s="58"/>
      <c r="E68" s="58"/>
      <c r="F68" s="58"/>
      <c r="G68" s="58"/>
      <c r="H68" s="58"/>
    </row>
    <row r="69" spans="2:8" ht="39.75" customHeight="1" x14ac:dyDescent="0.2">
      <c r="B69" s="58" t="s">
        <v>180</v>
      </c>
      <c r="C69" s="58"/>
      <c r="D69" s="58"/>
      <c r="E69" s="58"/>
      <c r="F69" s="58"/>
      <c r="G69" s="58"/>
      <c r="H69" s="58"/>
    </row>
    <row r="70" spans="2:8" ht="39.75" customHeight="1" x14ac:dyDescent="0.2">
      <c r="B70" s="58" t="s">
        <v>181</v>
      </c>
      <c r="C70" s="58"/>
      <c r="D70" s="58"/>
      <c r="E70" s="58"/>
      <c r="F70" s="58"/>
      <c r="G70" s="58"/>
      <c r="H70" s="58"/>
    </row>
    <row r="71" spans="2:8" ht="39.75" customHeight="1" x14ac:dyDescent="0.2">
      <c r="B71" s="58" t="s">
        <v>182</v>
      </c>
      <c r="C71" s="58"/>
      <c r="D71" s="58"/>
      <c r="E71" s="58"/>
      <c r="F71" s="58"/>
      <c r="G71" s="58"/>
      <c r="H71" s="58"/>
    </row>
    <row r="72" spans="2:8" ht="39.75" customHeight="1" x14ac:dyDescent="0.2">
      <c r="B72" s="58" t="s">
        <v>183</v>
      </c>
      <c r="C72" s="58"/>
      <c r="D72" s="58"/>
      <c r="E72" s="58"/>
      <c r="F72" s="58"/>
      <c r="G72" s="58"/>
      <c r="H72" s="58"/>
    </row>
  </sheetData>
  <mergeCells count="9">
    <mergeCell ref="B69:H69"/>
    <mergeCell ref="B70:H70"/>
    <mergeCell ref="B71:H71"/>
    <mergeCell ref="B72:H72"/>
    <mergeCell ref="B64:H64"/>
    <mergeCell ref="B65:H65"/>
    <mergeCell ref="B66:H66"/>
    <mergeCell ref="B67:H67"/>
    <mergeCell ref="B68:H68"/>
  </mergeCell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A55B8-B0D3-B542-9A16-63B057B7D015}">
  <dimension ref="G11:G28"/>
  <sheetViews>
    <sheetView workbookViewId="0">
      <selection activeCell="H28" sqref="H28"/>
    </sheetView>
  </sheetViews>
  <sheetFormatPr baseColWidth="10" defaultRowHeight="15" x14ac:dyDescent="0.2"/>
  <cols>
    <col min="7" max="7" width="24.1640625" customWidth="1"/>
  </cols>
  <sheetData>
    <row r="11" spans="7:7" ht="16" thickBot="1" x14ac:dyDescent="0.25"/>
    <row r="12" spans="7:7" ht="18" thickBot="1" x14ac:dyDescent="0.25">
      <c r="G12" s="51" t="s">
        <v>185</v>
      </c>
    </row>
    <row r="13" spans="7:7" ht="17" thickBot="1" x14ac:dyDescent="0.25">
      <c r="G13" s="53">
        <v>334862610</v>
      </c>
    </row>
    <row r="14" spans="7:7" ht="17" thickBot="1" x14ac:dyDescent="0.25">
      <c r="G14" s="53">
        <v>2600075724</v>
      </c>
    </row>
    <row r="15" spans="7:7" ht="17" thickBot="1" x14ac:dyDescent="0.25">
      <c r="G15" s="53">
        <v>1559249038</v>
      </c>
    </row>
    <row r="16" spans="7:7" ht="17" thickBot="1" x14ac:dyDescent="0.25">
      <c r="G16" s="53">
        <v>149884456</v>
      </c>
    </row>
    <row r="17" spans="7:7" ht="17" thickBot="1" x14ac:dyDescent="0.25">
      <c r="G17" s="53">
        <v>69988722</v>
      </c>
    </row>
    <row r="18" spans="7:7" ht="17" thickBot="1" x14ac:dyDescent="0.25">
      <c r="G18" s="53">
        <v>11640734</v>
      </c>
    </row>
    <row r="19" spans="7:7" x14ac:dyDescent="0.2">
      <c r="G19" s="55">
        <v>27091265155.82</v>
      </c>
    </row>
    <row r="20" spans="7:7" x14ac:dyDescent="0.2">
      <c r="G20" s="55">
        <f>SUM(G13:G19)</f>
        <v>31816966439.82</v>
      </c>
    </row>
    <row r="21" spans="7:7" ht="16" x14ac:dyDescent="0.2">
      <c r="G21" s="54">
        <v>44652627243</v>
      </c>
    </row>
    <row r="22" spans="7:7" x14ac:dyDescent="0.2">
      <c r="G22" s="55">
        <f>G21-G20</f>
        <v>12835660803.18</v>
      </c>
    </row>
    <row r="25" spans="7:7" x14ac:dyDescent="0.2">
      <c r="G25" s="52">
        <v>12645627244</v>
      </c>
    </row>
    <row r="26" spans="7:7" x14ac:dyDescent="0.2">
      <c r="G26" s="52">
        <v>1264562724</v>
      </c>
    </row>
    <row r="27" spans="7:7" x14ac:dyDescent="0.2">
      <c r="G27" s="56">
        <v>1</v>
      </c>
    </row>
    <row r="28" spans="7:7" x14ac:dyDescent="0.2">
      <c r="G28" s="57">
        <f>(G26*G27)/G25</f>
        <v>9.9999999968368516E-2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CALIFICACION</vt:lpstr>
      <vt:lpstr>PARAMETROS</vt:lpstr>
      <vt:lpstr>FLUJO DE CAJA</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Jose Gabriel Pereira Angarita</cp:lastModifiedBy>
  <cp:revision>0</cp:revision>
  <dcterms:created xsi:type="dcterms:W3CDTF">2026-08-13T20:58:41Z</dcterms:created>
  <dcterms:modified xsi:type="dcterms:W3CDTF">2026-09-08T20:31:42Z</dcterms:modified>
  <dc:language>en-US</dc:language>
</cp:coreProperties>
</file>